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39" activeTab="1"/>
  </bookViews>
  <sheets>
    <sheet name="Balancete 2019" sheetId="1" r:id="rId1"/>
    <sheet name="Balanço Patrimonial" sheetId="2" r:id="rId2"/>
    <sheet name="DRE" sheetId="3" r:id="rId3"/>
    <sheet name="DMPL" sheetId="4" r:id="rId4"/>
    <sheet name="DFC Indireto" sheetId="5" r:id="rId5"/>
    <sheet name="DRA" sheetId="6" r:id="rId6"/>
    <sheet name="Indices" sheetId="7" r:id="rId7"/>
    <sheet name="Carta de representação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1">#REF!</definedName>
    <definedName name="\a" localSheetId="4">#REF!</definedName>
    <definedName name="\a" localSheetId="3">#REF!</definedName>
    <definedName name="\a">#REF!</definedName>
    <definedName name="\f" localSheetId="1">'[1]TAB1-01'!#REF!</definedName>
    <definedName name="\f" localSheetId="4">'[1]TAB1-01'!#REF!</definedName>
    <definedName name="\f" localSheetId="3">'[1]TAB1-01'!#REF!</definedName>
    <definedName name="\f">'[1]TAB1-01'!#REF!</definedName>
    <definedName name="\i" localSheetId="1">'[1]TAB1-01'!#REF!</definedName>
    <definedName name="\i" localSheetId="4">'[1]TAB1-01'!#REF!</definedName>
    <definedName name="\i" localSheetId="3">'[1]TAB1-01'!#REF!</definedName>
    <definedName name="\i">'[1]TAB1-01'!#REF!</definedName>
    <definedName name="\p" localSheetId="1">'[1]TAB1-05'!#REF!</definedName>
    <definedName name="\p" localSheetId="4">'[1]TAB1-05'!#REF!</definedName>
    <definedName name="\p" localSheetId="3">'[1]TAB1-05'!#REF!</definedName>
    <definedName name="\p">'[1]TAB1-05'!#REF!</definedName>
    <definedName name="\s" localSheetId="1">'[1]TAB1-01'!#REF!</definedName>
    <definedName name="\s" localSheetId="4">'[1]TAB1-01'!#REF!</definedName>
    <definedName name="\s" localSheetId="3">'[1]TAB1-01'!#REF!</definedName>
    <definedName name="\s">'[1]TAB1-01'!#REF!</definedName>
    <definedName name="\w" localSheetId="1">'[1]TAB1-01'!#REF!</definedName>
    <definedName name="\w" localSheetId="4">'[1]TAB1-01'!#REF!</definedName>
    <definedName name="\w" localSheetId="3">'[1]TAB1-01'!#REF!</definedName>
    <definedName name="\w">'[1]TAB1-01'!#REF!</definedName>
    <definedName name="\z" localSheetId="1">#REF!</definedName>
    <definedName name="\z" localSheetId="4">#REF!</definedName>
    <definedName name="\z" localSheetId="3">#REF!</definedName>
    <definedName name="\z">#REF!</definedName>
    <definedName name="__Nvs2">'[2]Plan1'!$I$679</definedName>
    <definedName name="_Fill" localSheetId="1" hidden="1">#REF!</definedName>
    <definedName name="_Fill" localSheetId="4" hidden="1">#REF!</definedName>
    <definedName name="_Fill" localSheetId="3" hidden="1">#REF!</definedName>
    <definedName name="_Fill" hidden="1">#REF!</definedName>
    <definedName name="_Fill1" localSheetId="1" hidden="1">#REF!</definedName>
    <definedName name="_Fill1" localSheetId="4" hidden="1">#REF!</definedName>
    <definedName name="_Fill1" localSheetId="3" hidden="1">#REF!</definedName>
    <definedName name="_Fill1" hidden="1">#REF!</definedName>
    <definedName name="_ID">"II.19 BACEN balancete passivo(5)"</definedName>
    <definedName name="_Key1" hidden="1">'[3]Geral'!$C$6</definedName>
    <definedName name="_Key2" hidden="1">'[3]Geral'!$H$6</definedName>
    <definedName name="_LEO2" localSheetId="1">'[4]Desagr_pp'!#REF!</definedName>
    <definedName name="_LEO2" localSheetId="4">'[4]Desagr_pp'!#REF!</definedName>
    <definedName name="_LEO2" localSheetId="3">'[4]Desagr_pp'!#REF!</definedName>
    <definedName name="_LEO2">'[4]Desagr_pp'!#REF!</definedName>
    <definedName name="_Lin1">8</definedName>
    <definedName name="_Lin2">12</definedName>
    <definedName name="_Lin3">42</definedName>
    <definedName name="_NCol">7</definedName>
    <definedName name="_Nvs2">'[2]Plan1'!$I$679</definedName>
    <definedName name="_Order1" hidden="1">255</definedName>
    <definedName name="_Order2" hidden="1">255</definedName>
    <definedName name="_Sort" hidden="1">'[3]Geral'!$C$6:$W$1111</definedName>
    <definedName name="_TAB1" localSheetId="1">#REF!</definedName>
    <definedName name="_TAB1" localSheetId="4">#REF!</definedName>
    <definedName name="_TAB1" localSheetId="3">#REF!</definedName>
    <definedName name="_TAB1">#REF!</definedName>
    <definedName name="_TAB2" localSheetId="1">#REF!</definedName>
    <definedName name="_TAB2" localSheetId="4">#REF!</definedName>
    <definedName name="_TAB2" localSheetId="3">#REF!</definedName>
    <definedName name="_TAB2">#REF!</definedName>
    <definedName name="_Tipo">1</definedName>
    <definedName name="a" localSheetId="1">#REF!</definedName>
    <definedName name="a" localSheetId="4">#REF!</definedName>
    <definedName name="a" localSheetId="3">#REF!</definedName>
    <definedName name="a">#REF!</definedName>
    <definedName name="aa" localSheetId="1">OFFSET([0]!START,0,0,1,1)</definedName>
    <definedName name="aa" localSheetId="4">OFFSET([0]!START,0,0,1,1)</definedName>
    <definedName name="aa" localSheetId="3">OFFSET([5]!START,0,0,1,1)</definedName>
    <definedName name="aa" localSheetId="2">OFFSET([0]!START,0,0,1,1)</definedName>
    <definedName name="aa">OFFSET([0]!START,0,0,1,1)</definedName>
    <definedName name="aaa" localSheetId="1">OFFSET('Balanço Patrimonial'!aa,0,6,1,1)</definedName>
    <definedName name="aaa" localSheetId="4">OFFSET('DFC Indireto'!aa,0,6,1,1)</definedName>
    <definedName name="aaa" localSheetId="3">OFFSET([5]!aa,0,6,1,1)</definedName>
    <definedName name="aaa" localSheetId="2">OFFSET('DRE'!aa,0,6,1,1)</definedName>
    <definedName name="aaa">OFFSET([0]!aa,0,6,1,1)</definedName>
    <definedName name="aaaa">'[1]TAB1-01'!#REF!</definedName>
    <definedName name="Abr" localSheetId="1">#REF!</definedName>
    <definedName name="Abr" localSheetId="4">#REF!</definedName>
    <definedName name="Abr" localSheetId="3">#REF!</definedName>
    <definedName name="Abr">#REF!</definedName>
    <definedName name="AccessDatabase" hidden="1">"C:\Banco de Dados GEORC\Operacional.mdb"</definedName>
    <definedName name="Acumulado" localSheetId="1">'[6]Real'!#REF!</definedName>
    <definedName name="Acumulado" localSheetId="4">'[6]Real'!#REF!</definedName>
    <definedName name="Acumulado" localSheetId="3">'[6]Real'!#REF!</definedName>
    <definedName name="Acumulado">'[6]Real'!#REF!</definedName>
    <definedName name="ADPR" localSheetId="1">#REF!</definedName>
    <definedName name="ADPR" localSheetId="4">#REF!</definedName>
    <definedName name="ADPR" localSheetId="3">#REF!</definedName>
    <definedName name="ADPR">#REF!</definedName>
    <definedName name="Ago" localSheetId="1">#REF!</definedName>
    <definedName name="Ago" localSheetId="4">#REF!</definedName>
    <definedName name="Ago" localSheetId="3">#REF!</definedName>
    <definedName name="Ago">#REF!</definedName>
    <definedName name="Aila">'[7]Config'!$B$25</definedName>
    <definedName name="Alienação_investimentos" localSheetId="1">'[8]Ativo'!#REF!</definedName>
    <definedName name="Alienação_investimentos" localSheetId="4">'[8]Ativo'!#REF!</definedName>
    <definedName name="Alienação_investimentos" localSheetId="3">'[8]Ativo'!#REF!</definedName>
    <definedName name="Alienação_investimentos">'[8]Ativo'!#REF!</definedName>
    <definedName name="Ana">'[7]Config'!$I$25</definedName>
    <definedName name="area">'[9]VICTEL ($R)'!$N$10</definedName>
    <definedName name="_xlnm.Print_Area" localSheetId="1">'Balanço Patrimonial'!$B$1:$Q$59</definedName>
    <definedName name="_xlnm.Print_Area" localSheetId="4">'DFC Indireto'!$B$1:$K$82</definedName>
    <definedName name="_xlnm.Print_Area" localSheetId="3">'DMPL'!$B$2:$O$56</definedName>
    <definedName name="_xlnm.Print_Area" localSheetId="5">'DRA'!$A$1:$O$38</definedName>
    <definedName name="_xlnm.Print_Area" localSheetId="2">'DRE'!$A$2:$I$78</definedName>
    <definedName name="_xlnm.Print_Area" localSheetId="6">'Indices'!$A$1:$G$10</definedName>
    <definedName name="AS" localSheetId="1">#REF!</definedName>
    <definedName name="AS" localSheetId="4">#REF!</definedName>
    <definedName name="AS" localSheetId="3">#REF!</definedName>
    <definedName name="AS">#REF!</definedName>
    <definedName name="AS2DocOpenMode" hidden="1">"AS2DocumentBrowse"</definedName>
    <definedName name="asc" localSheetId="1" hidden="1">#REF!</definedName>
    <definedName name="asc" localSheetId="4" hidden="1">#REF!</definedName>
    <definedName name="asc" localSheetId="3" hidden="1">#REF!</definedName>
    <definedName name="asc" hidden="1">#REF!</definedName>
    <definedName name="ascq" localSheetId="1">'[4]Desagr_pp'!#REF!</definedName>
    <definedName name="ascq" localSheetId="4">'[4]Desagr_pp'!#REF!</definedName>
    <definedName name="ascq" localSheetId="3">'[4]Desagr_pp'!#REF!</definedName>
    <definedName name="ascq">'[4]Desagr_pp'!#REF!</definedName>
    <definedName name="asdf" localSheetId="1">#REF!</definedName>
    <definedName name="asdf" localSheetId="4">#REF!</definedName>
    <definedName name="asdf" localSheetId="3">#REF!</definedName>
    <definedName name="asdf">#REF!</definedName>
    <definedName name="AtribTodos">'[10]Config'!$B$15</definedName>
    <definedName name="bolcopin">'[11]Libor'!$A$1:$H$10,'[11]Libor'!$A$11:$H$47</definedName>
    <definedName name="CadGrupoEco">'[12]D Circ Tot'!$F$7:$H$52</definedName>
    <definedName name="CadGrupoFin">'[12]D Circ Tot'!$F$7:$H$62</definedName>
    <definedName name="Camila">'[7]Config'!$C$25</definedName>
    <definedName name="Cell_Errors" localSheetId="1">OFFSET('Balanço Patrimonial'!File_Name,0,5,1,1)</definedName>
    <definedName name="Cell_Errors" localSheetId="4">OFFSET('DFC Indireto'!File_Name,0,5,1,1)</definedName>
    <definedName name="Cell_Errors" localSheetId="3">OFFSET([5]!File_Name,0,5,1,1)</definedName>
    <definedName name="Cell_Errors" localSheetId="2">OFFSET('DRE'!File_Name,0,5,1,1)</definedName>
    <definedName name="Cell_Errors">OFFSET('Balanço Patrimonial'!File_Name,0,5,1,1)</definedName>
    <definedName name="ContatoTodos">'[10]Config'!$H$25</definedName>
    <definedName name="CONTRIBUIÇÃO_POR_UNIDADE_DE_NEGÓCIO" localSheetId="1">#REF!</definedName>
    <definedName name="CONTRIBUIÇÃO_POR_UNIDADE_DE_NEGÓCIO" localSheetId="4">#REF!</definedName>
    <definedName name="CONTRIBUIÇÃO_POR_UNIDADE_DE_NEGÓCIO" localSheetId="3">#REF!</definedName>
    <definedName name="CONTRIBUIÇÃO_POR_UNIDADE_DE_NEGÓCIO">#REF!</definedName>
    <definedName name="conv_vol" localSheetId="1">#REF!</definedName>
    <definedName name="conv_vol" localSheetId="4">#REF!</definedName>
    <definedName name="conv_vol" localSheetId="3">#REF!</definedName>
    <definedName name="conv_vol">#REF!</definedName>
    <definedName name="cor" localSheetId="1">'[13]Março'!#REF!</definedName>
    <definedName name="cor" localSheetId="4">'[13]Março'!#REF!</definedName>
    <definedName name="cor" localSheetId="3">'[13]Março'!#REF!</definedName>
    <definedName name="cor">'[13]Março'!#REF!</definedName>
    <definedName name="crescimento" localSheetId="1">#REF!</definedName>
    <definedName name="crescimento" localSheetId="4">#REF!</definedName>
    <definedName name="crescimento" localSheetId="3">#REF!</definedName>
    <definedName name="crescimento">#REF!</definedName>
    <definedName name="cron" localSheetId="1">#REF!</definedName>
    <definedName name="cron" localSheetId="4">#REF!</definedName>
    <definedName name="cron" localSheetId="3">#REF!</definedName>
    <definedName name="cron">#REF!</definedName>
    <definedName name="d">'[14]Plan1'!$J$814</definedName>
    <definedName name="dados">'[3]Geral'!$A$2:$E$126</definedName>
    <definedName name="DALOG" localSheetId="1">#REF!</definedName>
    <definedName name="DALOG" localSheetId="4">#REF!</definedName>
    <definedName name="DALOG" localSheetId="3">#REF!</definedName>
    <definedName name="DALOG">#REF!</definedName>
    <definedName name="dasdfqw" localSheetId="1">#REF!</definedName>
    <definedName name="dasdfqw" localSheetId="4">#REF!</definedName>
    <definedName name="dasdfqw" localSheetId="3">#REF!</definedName>
    <definedName name="dasdfqw">#REF!</definedName>
    <definedName name="DATA" localSheetId="1">#REF!</definedName>
    <definedName name="DATA" localSheetId="4">#REF!</definedName>
    <definedName name="DATA" localSheetId="3">#REF!</definedName>
    <definedName name="DATA">#REF!</definedName>
    <definedName name="Data_BB_450" localSheetId="1">#REF!</definedName>
    <definedName name="Data_BB_450" localSheetId="4">#REF!</definedName>
    <definedName name="Data_BB_450" localSheetId="3">#REF!</definedName>
    <definedName name="Data_BB_450">#REF!</definedName>
    <definedName name="ddas" localSheetId="1">#REF!</definedName>
    <definedName name="ddas" localSheetId="4">#REF!</definedName>
    <definedName name="ddas" localSheetId="3">#REF!</definedName>
    <definedName name="ddas">#REF!</definedName>
    <definedName name="ddd" localSheetId="1" hidden="1">#REF!</definedName>
    <definedName name="ddd" localSheetId="4" hidden="1">#REF!</definedName>
    <definedName name="ddd" localSheetId="3" hidden="1">#REF!</definedName>
    <definedName name="ddd" hidden="1">#REF!</definedName>
    <definedName name="ddw" localSheetId="1" hidden="1">#REF!</definedName>
    <definedName name="ddw" localSheetId="4" hidden="1">#REF!</definedName>
    <definedName name="ddw" localSheetId="3" hidden="1">#REF!</definedName>
    <definedName name="ddw" hidden="1">#REF!</definedName>
    <definedName name="Despesa_Matéria_Prima" localSheetId="1">#REF!</definedName>
    <definedName name="Despesa_Matéria_Prima" localSheetId="4">#REF!</definedName>
    <definedName name="Despesa_Matéria_Prima" localSheetId="3">#REF!</definedName>
    <definedName name="Despesa_Matéria_Prima">#REF!</definedName>
    <definedName name="Dez" localSheetId="1">#REF!</definedName>
    <definedName name="Dez" localSheetId="4">#REF!</definedName>
    <definedName name="Dez" localSheetId="3">#REF!</definedName>
    <definedName name="Dez">#REF!</definedName>
    <definedName name="dfadf" localSheetId="1">#REF!</definedName>
    <definedName name="dfadf" localSheetId="4">#REF!</definedName>
    <definedName name="dfadf" localSheetId="3">#REF!</definedName>
    <definedName name="dfadf">#REF!</definedName>
    <definedName name="DIARIO1B" localSheetId="1">#REF!</definedName>
    <definedName name="DIARIO1B" localSheetId="4">#REF!</definedName>
    <definedName name="DIARIO1B" localSheetId="3">#REF!</definedName>
    <definedName name="DIARIO1B">#REF!</definedName>
    <definedName name="DIARIO1E" localSheetId="1">#REF!</definedName>
    <definedName name="DIARIO1E" localSheetId="4">#REF!</definedName>
    <definedName name="DIARIO1E" localSheetId="3">#REF!</definedName>
    <definedName name="DIARIO1E">#REF!</definedName>
    <definedName name="DIARIO2A" localSheetId="1">#REF!</definedName>
    <definedName name="DIARIO2A" localSheetId="4">#REF!</definedName>
    <definedName name="DIARIO2A" localSheetId="3">#REF!</definedName>
    <definedName name="DIARIO2A">#REF!</definedName>
    <definedName name="DIARIO2B" localSheetId="1">#REF!</definedName>
    <definedName name="DIARIO2B" localSheetId="4">#REF!</definedName>
    <definedName name="DIARIO2B" localSheetId="3">#REF!</definedName>
    <definedName name="DIARIO2B">#REF!</definedName>
    <definedName name="DIARIO2E" localSheetId="1">#REF!</definedName>
    <definedName name="DIARIO2E" localSheetId="4">#REF!</definedName>
    <definedName name="DIARIO2E" localSheetId="3">#REF!</definedName>
    <definedName name="DIARIO2E">#REF!</definedName>
    <definedName name="DIRED_HON" hidden="1">255</definedName>
    <definedName name="dolfev" localSheetId="1">#REF!</definedName>
    <definedName name="dolfev" localSheetId="4">#REF!</definedName>
    <definedName name="dolfev" localSheetId="3">#REF!</definedName>
    <definedName name="dolfev">#REF!</definedName>
    <definedName name="doljan" localSheetId="1">#REF!</definedName>
    <definedName name="doljan" localSheetId="4">#REF!</definedName>
    <definedName name="doljan" localSheetId="3">#REF!</definedName>
    <definedName name="doljan">#REF!</definedName>
    <definedName name="ds">'[15]D Circ Tot'!$A:$A</definedName>
    <definedName name="DtmTodos">'[10]Config'!$X$20</definedName>
    <definedName name="eeee" localSheetId="1">#REF!</definedName>
    <definedName name="eeee" localSheetId="4">#REF!</definedName>
    <definedName name="eeee" localSheetId="3">#REF!</definedName>
    <definedName name="eeee">#REF!</definedName>
    <definedName name="empresa" localSheetId="1">#REF!</definedName>
    <definedName name="empresa" localSheetId="4">#REF!</definedName>
    <definedName name="empresa" localSheetId="3">#REF!</definedName>
    <definedName name="empresa">#REF!</definedName>
    <definedName name="er">'[15]D Circ Dia'!$B$21</definedName>
    <definedName name="ew" localSheetId="1">#REF!</definedName>
    <definedName name="ew" localSheetId="4">#REF!</definedName>
    <definedName name="ew" localSheetId="3">#REF!</definedName>
    <definedName name="ew">#REF!</definedName>
    <definedName name="fasfasfasfasfsar" localSheetId="1">#REF!</definedName>
    <definedName name="fasfasfasfasfsar" localSheetId="4">#REF!</definedName>
    <definedName name="fasfasfasfasfsar" localSheetId="3">#REF!</definedName>
    <definedName name="fasfasfasfasfsar">#REF!</definedName>
    <definedName name="FCO_CBDALOG" localSheetId="1">#REF!</definedName>
    <definedName name="FCO_CBDALOG" localSheetId="4">#REF!</definedName>
    <definedName name="FCO_CBDALOG" localSheetId="3">#REF!</definedName>
    <definedName name="FCO_CBDALOG">#REF!</definedName>
    <definedName name="fd" localSheetId="1">#REF!</definedName>
    <definedName name="fd" localSheetId="4">#REF!</definedName>
    <definedName name="fd" localSheetId="3">#REF!</definedName>
    <definedName name="fd">#REF!</definedName>
    <definedName name="fdasfasf" localSheetId="1" hidden="1">#REF!</definedName>
    <definedName name="fdasfasf" localSheetId="4" hidden="1">#REF!</definedName>
    <definedName name="fdasfasf" localSheetId="3" hidden="1">#REF!</definedName>
    <definedName name="fdasfasf" hidden="1">#REF!</definedName>
    <definedName name="fdsd" localSheetId="1" hidden="1">#REF!</definedName>
    <definedName name="fdsd" localSheetId="4" hidden="1">#REF!</definedName>
    <definedName name="fdsd" localSheetId="3" hidden="1">#REF!</definedName>
    <definedName name="fdsd" hidden="1">#REF!</definedName>
    <definedName name="FECHA" localSheetId="4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FECHA" localSheetId="3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FECHA" localSheetId="2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FECHA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Fev" localSheetId="1">#REF!</definedName>
    <definedName name="Fev" localSheetId="4">#REF!</definedName>
    <definedName name="Fev" localSheetId="3">#REF!</definedName>
    <definedName name="Fev">#REF!</definedName>
    <definedName name="fgtr4" localSheetId="1" hidden="1">#REF!</definedName>
    <definedName name="fgtr4" localSheetId="4" hidden="1">#REF!</definedName>
    <definedName name="fgtr4" localSheetId="3" hidden="1">#REF!</definedName>
    <definedName name="fgtr4" hidden="1">#REF!</definedName>
    <definedName name="File_Name" localSheetId="1">OFFSET([0]!START,0,0,1,1)</definedName>
    <definedName name="File_Name" localSheetId="4">OFFSET([0]!START,0,0,1,1)</definedName>
    <definedName name="File_Name" localSheetId="3">OFFSET([5]!START,0,0,1,1)</definedName>
    <definedName name="File_Name" localSheetId="2">OFFSET([0]!START,0,0,1,1)</definedName>
    <definedName name="File_Name">OFFSET([0]!START,0,0,1,1)</definedName>
    <definedName name="ForaFila">'[10]Config'!$B$23</definedName>
    <definedName name="g" localSheetId="1">#REF!</definedName>
    <definedName name="g" localSheetId="4">#REF!</definedName>
    <definedName name="g" localSheetId="3">#REF!</definedName>
    <definedName name="g">#REF!</definedName>
    <definedName name="ggd" localSheetId="1">#REF!</definedName>
    <definedName name="ggd" localSheetId="4">#REF!</definedName>
    <definedName name="ggd" localSheetId="3">#REF!</definedName>
    <definedName name="ggd">#REF!</definedName>
    <definedName name="Goodwill" localSheetId="1">'[16]Deprec.'!#REF!</definedName>
    <definedName name="Goodwill" localSheetId="4">'[16]Deprec.'!#REF!</definedName>
    <definedName name="Goodwill" localSheetId="3">'[16]Deprec.'!#REF!</definedName>
    <definedName name="Goodwill">'[16]Deprec.'!#REF!</definedName>
    <definedName name="RECORDER">'[12]D Circ Dia'!$A:$A</definedName>
    <definedName name="h" localSheetId="1">#REF!</definedName>
    <definedName name="h" localSheetId="4">#REF!</definedName>
    <definedName name="h" localSheetId="3">#REF!</definedName>
    <definedName name="h">#REF!</definedName>
    <definedName name="HGFHGFH">'[15]D Circ Dia'!$B$21</definedName>
    <definedName name="HHH" localSheetId="1">#REF!</definedName>
    <definedName name="HHH" localSheetId="4">#REF!</definedName>
    <definedName name="HHH" localSheetId="3">#REF!</definedName>
    <definedName name="HHH">#REF!</definedName>
    <definedName name="HHHHHHHH" localSheetId="1">#REF!</definedName>
    <definedName name="HHHHHHHH" localSheetId="4">#REF!</definedName>
    <definedName name="HHHHHHHH" localSheetId="3">#REF!</definedName>
    <definedName name="HHHHHHHH">#REF!</definedName>
    <definedName name="Hist_01">'[12]D Circ Dia'!$B$9</definedName>
    <definedName name="Hist_02">'[12]D Circ Dia'!$B$21</definedName>
    <definedName name="Hist_03">'[12]D Circ Dia'!$B$47</definedName>
    <definedName name="Hist_04">'[12]D Circ Dia'!$B$53</definedName>
    <definedName name="Hist_05">'[12]D Circ Dia'!$B$59</definedName>
    <definedName name="Hist_06">'[12]D Circ Dia'!$B$65</definedName>
    <definedName name="HTML_CodePage" hidden="1">1252</definedName>
    <definedName name="HTML_Control" localSheetId="4" hidden="1">{"'Jan'!$A$1:$AB$56"}</definedName>
    <definedName name="HTML_Control" localSheetId="3" hidden="1">{"'Jan'!$A$1:$AB$56"}</definedName>
    <definedName name="HTML_Control" localSheetId="2" hidden="1">{"'Jan'!$A$1:$AB$56"}</definedName>
    <definedName name="HTML_Control" hidden="1">{"'Jan'!$A$1:$AB$56"}</definedName>
    <definedName name="HTML_Description" hidden="1">""</definedName>
    <definedName name="HTML_Email" hidden="1">""</definedName>
    <definedName name="HTML_Header" hidden="1">"Jan"</definedName>
    <definedName name="HTML_LastUpdate" hidden="1">"21/03/07"</definedName>
    <definedName name="HTML_LineAfter" hidden="1">FALSE</definedName>
    <definedName name="HTML_LineBefore" hidden="1">FALSE</definedName>
    <definedName name="HTML_Name" hidden="1">"Celina"</definedName>
    <definedName name="HTML_OBDlg2" hidden="1">TRUE</definedName>
    <definedName name="HTML_OBDlg4" hidden="1">TRUE</definedName>
    <definedName name="HTML_OS" hidden="1">0</definedName>
    <definedName name="HTML_PathFile" hidden="1">"C:\Meus documentos\Celina\Portal\MeuHTML.htm"</definedName>
    <definedName name="HTML_Title" hidden="1">"Apuração receitas Portal set-dez 2006 - Jan a Fev -2007 Final"</definedName>
    <definedName name="index00" localSheetId="1">#REF!</definedName>
    <definedName name="index00" localSheetId="4">#REF!</definedName>
    <definedName name="index00" localSheetId="3">#REF!</definedName>
    <definedName name="index00">#REF!</definedName>
    <definedName name="index01" localSheetId="1">#REF!</definedName>
    <definedName name="index01" localSheetId="4">#REF!</definedName>
    <definedName name="index01" localSheetId="3">#REF!</definedName>
    <definedName name="index01">#REF!</definedName>
    <definedName name="index02" localSheetId="1">#REF!</definedName>
    <definedName name="index02" localSheetId="4">#REF!</definedName>
    <definedName name="index02" localSheetId="3">#REF!</definedName>
    <definedName name="index02">#REF!</definedName>
    <definedName name="index03" localSheetId="1">#REF!</definedName>
    <definedName name="index03" localSheetId="4">#REF!</definedName>
    <definedName name="index03" localSheetId="3">#REF!</definedName>
    <definedName name="index03">#REF!</definedName>
    <definedName name="index04" localSheetId="1">#REF!</definedName>
    <definedName name="index04" localSheetId="4">#REF!</definedName>
    <definedName name="index04" localSheetId="3">#REF!</definedName>
    <definedName name="index04">#REF!</definedName>
    <definedName name="index05" localSheetId="1">#REF!</definedName>
    <definedName name="index05" localSheetId="4">#REF!</definedName>
    <definedName name="index05" localSheetId="3">#REF!</definedName>
    <definedName name="index05">#REF!</definedName>
    <definedName name="index06" localSheetId="1">#REF!</definedName>
    <definedName name="index06" localSheetId="4">#REF!</definedName>
    <definedName name="index06" localSheetId="3">#REF!</definedName>
    <definedName name="index06">#REF!</definedName>
    <definedName name="index07" localSheetId="1">#REF!</definedName>
    <definedName name="index07" localSheetId="4">#REF!</definedName>
    <definedName name="index07" localSheetId="3">#REF!</definedName>
    <definedName name="index07">#REF!</definedName>
    <definedName name="index08" localSheetId="1">#REF!</definedName>
    <definedName name="index08" localSheetId="4">#REF!</definedName>
    <definedName name="index08" localSheetId="3">#REF!</definedName>
    <definedName name="index08">#REF!</definedName>
    <definedName name="index97" localSheetId="1">#REF!</definedName>
    <definedName name="index97" localSheetId="4">#REF!</definedName>
    <definedName name="index97" localSheetId="3">#REF!</definedName>
    <definedName name="index97">#REF!</definedName>
    <definedName name="index98" localSheetId="1">#REF!</definedName>
    <definedName name="index98" localSheetId="4">#REF!</definedName>
    <definedName name="index98" localSheetId="3">#REF!</definedName>
    <definedName name="index98">#REF!</definedName>
    <definedName name="index99" localSheetId="1">#REF!</definedName>
    <definedName name="index99" localSheetId="4">#REF!</definedName>
    <definedName name="index99" localSheetId="3">#REF!</definedName>
    <definedName name="index99">#REF!</definedName>
    <definedName name="Internet" localSheetId="1">#REF!</definedName>
    <definedName name="Internet" localSheetId="4">#REF!</definedName>
    <definedName name="Internet" localSheetId="3">#REF!</definedName>
    <definedName name="Internet">#REF!</definedName>
    <definedName name="iu" localSheetId="1">#REF!</definedName>
    <definedName name="iu" localSheetId="4">#REF!</definedName>
    <definedName name="iu" localSheetId="3">#REF!</definedName>
    <definedName name="iu">#REF!</definedName>
    <definedName name="j" localSheetId="1">#REF!</definedName>
    <definedName name="j" localSheetId="4">#REF!</definedName>
    <definedName name="j" localSheetId="3">#REF!</definedName>
    <definedName name="j">#REF!</definedName>
    <definedName name="Jan" localSheetId="1">#REF!</definedName>
    <definedName name="Jan" localSheetId="4">#REF!</definedName>
    <definedName name="Jan" localSheetId="3">#REF!</definedName>
    <definedName name="Jan">#REF!</definedName>
    <definedName name="jatemessenome" localSheetId="1" hidden="1">'[17]#REF'!#REF!</definedName>
    <definedName name="jatemessenome" localSheetId="4" hidden="1">'[17]#REF'!#REF!</definedName>
    <definedName name="jatemessenome" localSheetId="3" hidden="1">'[17]#REF'!#REF!</definedName>
    <definedName name="jatemessenome" hidden="1">'[17]#REF'!#REF!</definedName>
    <definedName name="Jul" localSheetId="1">#REF!</definedName>
    <definedName name="Jul" localSheetId="4">#REF!</definedName>
    <definedName name="Jul" localSheetId="3">#REF!</definedName>
    <definedName name="Jul">#REF!</definedName>
    <definedName name="Jun" localSheetId="1">#REF!</definedName>
    <definedName name="Jun" localSheetId="4">#REF!</definedName>
    <definedName name="Jun" localSheetId="3">#REF!</definedName>
    <definedName name="Jun">#REF!</definedName>
    <definedName name="k" localSheetId="1">#REF!</definedName>
    <definedName name="k" localSheetId="4">#REF!</definedName>
    <definedName name="k" localSheetId="3">#REF!</definedName>
    <definedName name="k">#REF!</definedName>
    <definedName name="kjç" localSheetId="1">#REF!</definedName>
    <definedName name="kjç" localSheetId="4">#REF!</definedName>
    <definedName name="kjç" localSheetId="3">#REF!</definedName>
    <definedName name="kjç">#REF!</definedName>
    <definedName name="Last_Date_Of_Revision" localSheetId="1">OFFSET('Balanço Patrimonial'!File_Name,0,4,1,1)</definedName>
    <definedName name="Last_Date_Of_Revision" localSheetId="4">OFFSET('DFC Indireto'!File_Name,0,4,1,1)</definedName>
    <definedName name="Last_Date_Of_Revision" localSheetId="3">OFFSET([5]!File_Name,0,4,1,1)</definedName>
    <definedName name="Last_Date_Of_Revision" localSheetId="2">OFFSET('DRE'!File_Name,0,4,1,1)</definedName>
    <definedName name="Last_Date_Of_Revision">OFFSET([0]!File_Name,0,4,1,1)</definedName>
    <definedName name="leo" localSheetId="1">'[18]Desagr_pp'!#REF!</definedName>
    <definedName name="leo" localSheetId="4">'[18]Desagr_pp'!#REF!</definedName>
    <definedName name="leo" localSheetId="3">'[18]Desagr_pp'!#REF!</definedName>
    <definedName name="leo">'[18]Desagr_pp'!#REF!</definedName>
    <definedName name="Liberado">'[10]Config'!$B$22</definedName>
    <definedName name="libor_mês___dolar" localSheetId="1">#REF!</definedName>
    <definedName name="libor_mês___dolar" localSheetId="4">#REF!</definedName>
    <definedName name="libor_mês___dolar" localSheetId="3">#REF!</definedName>
    <definedName name="libor_mês___dolar">#REF!</definedName>
    <definedName name="libormensal" localSheetId="1">#REF!</definedName>
    <definedName name="libormensal" localSheetId="4">#REF!</definedName>
    <definedName name="libormensal" localSheetId="3">#REF!</definedName>
    <definedName name="libormensal">#REF!</definedName>
    <definedName name="libormensal1" localSheetId="1">#REF!</definedName>
    <definedName name="libormensal1" localSheetId="4">#REF!</definedName>
    <definedName name="libormensal1" localSheetId="3">#REF!</definedName>
    <definedName name="libormensal1">#REF!</definedName>
    <definedName name="Links" localSheetId="1">OFFSET('Balanço Patrimonial'!File_Name,0,4,1,1)</definedName>
    <definedName name="Links" localSheetId="4">OFFSET('DFC Indireto'!File_Name,0,4,1,1)</definedName>
    <definedName name="Links" localSheetId="3">OFFSET([5]!File_Name,0,4,1,1)</definedName>
    <definedName name="Links" localSheetId="2">OFFSET('DRE'!File_Name,0,4,1,1)</definedName>
    <definedName name="Links">OFFSET([0]!File_Name,0,4,1,1)</definedName>
    <definedName name="ljl" localSheetId="1">#REF!</definedName>
    <definedName name="ljl" localSheetId="4">#REF!</definedName>
    <definedName name="ljl" localSheetId="3">#REF!</definedName>
    <definedName name="ljl">#REF!</definedName>
    <definedName name="m" localSheetId="1" hidden="1">#REF!</definedName>
    <definedName name="m" localSheetId="4" hidden="1">#REF!</definedName>
    <definedName name="m" localSheetId="3" hidden="1">#REF!</definedName>
    <definedName name="m" hidden="1">#REF!</definedName>
    <definedName name="Mai" localSheetId="1">#REF!</definedName>
    <definedName name="Mai" localSheetId="4">#REF!</definedName>
    <definedName name="Mai" localSheetId="3">#REF!</definedName>
    <definedName name="Mai">#REF!</definedName>
    <definedName name="Maio" hidden="1">"C:\WINDOWS.000\Desktop\MeuHTML.htm"</definedName>
    <definedName name="MAR" localSheetId="1">#REF!</definedName>
    <definedName name="MAR" localSheetId="4">#REF!</definedName>
    <definedName name="MAR" localSheetId="3">#REF!</definedName>
    <definedName name="MAR">#REF!</definedName>
    <definedName name="Matéria_Prima" localSheetId="1">#REF!</definedName>
    <definedName name="Matéria_Prima" localSheetId="4">#REF!</definedName>
    <definedName name="Matéria_Prima" localSheetId="3">#REF!</definedName>
    <definedName name="Matéria_Prima">#REF!</definedName>
    <definedName name="MENSAL2" localSheetId="1">#REF!</definedName>
    <definedName name="MENSAL2" localSheetId="4">#REF!</definedName>
    <definedName name="MENSAL2" localSheetId="3">#REF!</definedName>
    <definedName name="MENSAL2">#REF!</definedName>
    <definedName name="MENSAL4" localSheetId="1">#REF!</definedName>
    <definedName name="MENSAL4" localSheetId="4">#REF!</definedName>
    <definedName name="MENSAL4" localSheetId="3">#REF!</definedName>
    <definedName name="MENSAL4">#REF!</definedName>
    <definedName name="Mês" localSheetId="1">'[6]Real'!#REF!</definedName>
    <definedName name="Mês" localSheetId="4">'[6]Real'!#REF!</definedName>
    <definedName name="Mês" localSheetId="3">'[6]Real'!#REF!</definedName>
    <definedName name="Mês">'[6]Real'!#REF!</definedName>
    <definedName name="metacor" localSheetId="1">'[13]Março'!#REF!</definedName>
    <definedName name="metacor" localSheetId="4">'[13]Março'!#REF!</definedName>
    <definedName name="metacor" localSheetId="3">'[13]Março'!#REF!</definedName>
    <definedName name="metacor">'[13]Março'!#REF!</definedName>
    <definedName name="metaqui" localSheetId="1">'[13]Março'!#REF!</definedName>
    <definedName name="metaqui" localSheetId="4">'[13]Março'!#REF!</definedName>
    <definedName name="metaqui" localSheetId="3">'[13]Março'!#REF!</definedName>
    <definedName name="metaqui">'[13]Março'!#REF!</definedName>
    <definedName name="n" localSheetId="1">#REF!</definedName>
    <definedName name="n" localSheetId="4">#REF!</definedName>
    <definedName name="n" localSheetId="3">#REF!</definedName>
    <definedName name="n">#REF!</definedName>
    <definedName name="Nov" localSheetId="1">#REF!</definedName>
    <definedName name="Nov" localSheetId="4">#REF!</definedName>
    <definedName name="Nov" localSheetId="3">#REF!</definedName>
    <definedName name="Nov">#REF!</definedName>
    <definedName name="Number_Of_Sheets" localSheetId="1">OFFSET('Balanço Patrimonial'!File_Name,0,1,1,1)</definedName>
    <definedName name="Number_Of_Sheets" localSheetId="4">OFFSET('DFC Indireto'!File_Name,0,1,1,1)</definedName>
    <definedName name="Number_Of_Sheets" localSheetId="3">OFFSET([5]!File_Name,0,1,1,1)</definedName>
    <definedName name="Number_Of_Sheets" localSheetId="2">OFFSET('DRE'!File_Name,0,1,1,1)</definedName>
    <definedName name="Number_Of_Sheets">OFFSET([0]!File_Name,0,1,1,1)</definedName>
    <definedName name="NvsASD">"V1999-09-30"</definedName>
    <definedName name="NvsAutoDrillOk">"VY"</definedName>
    <definedName name="NvsElapsedTime">0.00831574073527008</definedName>
    <definedName name="NvsEndTime">36440.7951488426</definedName>
    <definedName name="NvsInstSpec">"%"</definedName>
    <definedName name="NvsLayoutType">"M3"</definedName>
    <definedName name="NvsNplSpec">"%,X,RZF..,CZT.ACCOUNT."</definedName>
    <definedName name="NvsPanelEffdt">"V1999-06-01"</definedName>
    <definedName name="NvsPanelSetid">"VGERAL"</definedName>
    <definedName name="NvsParentRef">'[19]Plan1'!$J$292</definedName>
    <definedName name="NvsReqBU">"VA"</definedName>
    <definedName name="NvsReqBUOnly">"VY"</definedName>
    <definedName name="NvsTransLed">"VN"</definedName>
    <definedName name="NvsTreeASD">"V1999-09-30"</definedName>
    <definedName name="NvsValTbl.ACCOUNT">"GL_ACCOUNT_TBL"</definedName>
    <definedName name="NvsValTbl.DEPTID">"DEPARTMENT_TBL"</definedName>
    <definedName name="oi" localSheetId="1">#REF!</definedName>
    <definedName name="oi" localSheetId="4">#REF!</definedName>
    <definedName name="oi" localSheetId="3">#REF!</definedName>
    <definedName name="oi">#REF!</definedName>
    <definedName name="Operacional_Plan1_Lista">'[17]#REF'!$A$3:$Y$107</definedName>
    <definedName name="Operacional_Plan2_Lista">'[17]#REF'!$A$1:$C$12</definedName>
    <definedName name="Operações" localSheetId="1">#REF!</definedName>
    <definedName name="Operações" localSheetId="4">#REF!</definedName>
    <definedName name="Operações" localSheetId="3">#REF!</definedName>
    <definedName name="Operações">#REF!</definedName>
    <definedName name="Other" localSheetId="1">OFFSET('Balanço Patrimonial'!File_Name,0,6,1,1)</definedName>
    <definedName name="Other" localSheetId="4">OFFSET('DFC Indireto'!File_Name,0,6,1,1)</definedName>
    <definedName name="Other" localSheetId="3">OFFSET([5]!File_Name,0,6,1,1)</definedName>
    <definedName name="Other" localSheetId="2">OFFSET('DRE'!File_Name,0,6,1,1)</definedName>
    <definedName name="Other">OFFSET([0]!File_Name,0,6,1,1)</definedName>
    <definedName name="Out" localSheetId="1">#REF!</definedName>
    <definedName name="Out" localSheetId="4">#REF!</definedName>
    <definedName name="Out" localSheetId="3">#REF!</definedName>
    <definedName name="Out">#REF!</definedName>
    <definedName name="Permuta">'[20]Config'!$F$21</definedName>
    <definedName name="piouf" localSheetId="1">'[21]Real'!#REF!</definedName>
    <definedName name="piouf" localSheetId="4">'[21]Real'!#REF!</definedName>
    <definedName name="piouf" localSheetId="3">'[21]Real'!#REF!</definedName>
    <definedName name="piouf">'[21]Real'!#REF!</definedName>
    <definedName name="Planilha_Passagem" localSheetId="1">#REF!</definedName>
    <definedName name="Planilha_Passagem" localSheetId="4">#REF!</definedName>
    <definedName name="Planilha_Passagem" localSheetId="3">#REF!</definedName>
    <definedName name="Planilha_Passagem">#REF!</definedName>
    <definedName name="pof" localSheetId="1">#REF!</definedName>
    <definedName name="pof" localSheetId="4">#REF!</definedName>
    <definedName name="pof" localSheetId="3">#REF!</definedName>
    <definedName name="pof">#REF!</definedName>
    <definedName name="Print_Area_MI" localSheetId="1">#REF!</definedName>
    <definedName name="Print_Area_MI" localSheetId="4">#REF!</definedName>
    <definedName name="Print_Area_MI" localSheetId="3">#REF!</definedName>
    <definedName name="Print_Area_MI">#REF!</definedName>
    <definedName name="qw">'[15]D Circ Dia'!$A:$A</definedName>
    <definedName name="Rádios" localSheetId="1">#REF!</definedName>
    <definedName name="Rádios" localSheetId="4">#REF!</definedName>
    <definedName name="Rádios" localSheetId="3">#REF!</definedName>
    <definedName name="Rádios">#REF!</definedName>
    <definedName name="re" localSheetId="1">#REF!</definedName>
    <definedName name="re" localSheetId="4">#REF!</definedName>
    <definedName name="re" localSheetId="3">#REF!</definedName>
    <definedName name="re">#REF!</definedName>
    <definedName name="Resumo2012" localSheetId="1">OFFSET([0]!START,0,0,1,1)</definedName>
    <definedName name="Resumo2012" localSheetId="4">OFFSET([0]!START,0,0,1,1)</definedName>
    <definedName name="Resumo2012" localSheetId="3">OFFSET([5]!START,0,0,1,1)</definedName>
    <definedName name="Resumo2012" localSheetId="2">OFFSET([0]!START,0,0,1,1)</definedName>
    <definedName name="Resumo2012">OFFSET([0]!START,0,0,1,1)</definedName>
    <definedName name="Robson">'[7]Config'!$D$25</definedName>
    <definedName name="RODAPE1" localSheetId="1">#REF!</definedName>
    <definedName name="RODAPE1" localSheetId="4">#REF!</definedName>
    <definedName name="RODAPE1" localSheetId="3">#REF!</definedName>
    <definedName name="RODAPE1">#REF!</definedName>
    <definedName name="RODAPE6" localSheetId="1">#REF!</definedName>
    <definedName name="RODAPE6" localSheetId="4">#REF!</definedName>
    <definedName name="RODAPE6" localSheetId="3">#REF!</definedName>
    <definedName name="RODAPE6">#REF!</definedName>
    <definedName name="RODAPE7" localSheetId="1">#REF!</definedName>
    <definedName name="RODAPE7" localSheetId="4">#REF!</definedName>
    <definedName name="RODAPE7" localSheetId="3">#REF!</definedName>
    <definedName name="RODAPE7">#REF!</definedName>
    <definedName name="RODAPE8" localSheetId="1">#REF!</definedName>
    <definedName name="RODAPE8" localSheetId="4">#REF!</definedName>
    <definedName name="RODAPE8" localSheetId="3">#REF!</definedName>
    <definedName name="RODAPE8">#REF!</definedName>
    <definedName name="rt">'[15]D Circ Dia'!$B$47</definedName>
    <definedName name="SA">'[15]D Circ Tot'!$A:$A</definedName>
    <definedName name="sadasd" localSheetId="1">#REF!</definedName>
    <definedName name="sadasd" localSheetId="4">#REF!</definedName>
    <definedName name="sadasd" localSheetId="3">#REF!</definedName>
    <definedName name="sadasd">#REF!</definedName>
    <definedName name="saldo_anterior_R" localSheetId="1">#REF!</definedName>
    <definedName name="saldo_anterior_R" localSheetId="4">#REF!</definedName>
    <definedName name="saldo_anterior_R" localSheetId="3">#REF!</definedName>
    <definedName name="saldo_anterior_R">#REF!</definedName>
    <definedName name="saldoRanterior" localSheetId="1">#REF!</definedName>
    <definedName name="saldoRanterior" localSheetId="4">#REF!</definedName>
    <definedName name="saldoRanterior" localSheetId="3">#REF!</definedName>
    <definedName name="saldoRanterior">#REF!</definedName>
    <definedName name="Set" localSheetId="1">#REF!</definedName>
    <definedName name="Set" localSheetId="4">#REF!</definedName>
    <definedName name="Set" localSheetId="3">#REF!</definedName>
    <definedName name="Set">#REF!</definedName>
    <definedName name="SetorTodos">'[10]Config'!$D$26</definedName>
    <definedName name="SFIN" localSheetId="1">#REF!</definedName>
    <definedName name="SFIN" localSheetId="4">#REF!</definedName>
    <definedName name="SFIN" localSheetId="3">#REF!</definedName>
    <definedName name="SFIN">#REF!</definedName>
    <definedName name="Sheet_Size" localSheetId="1">OFFSET('Balanço Patrimonial'!File_Name,0,3,1,1)</definedName>
    <definedName name="Sheet_Size" localSheetId="4">OFFSET('DFC Indireto'!File_Name,0,3,1,1)</definedName>
    <definedName name="Sheet_Size" localSheetId="3">OFFSET([5]!File_Name,0,3,1,1)</definedName>
    <definedName name="Sheet_Size" localSheetId="2">OFFSET('DRE'!File_Name,0,3,1,1)</definedName>
    <definedName name="Sheet_Size">OFFSET([0]!File_Name,0,3,1,1)</definedName>
    <definedName name="spread_anual" localSheetId="1">#REF!</definedName>
    <definedName name="spread_anual" localSheetId="4">#REF!</definedName>
    <definedName name="spread_anual" localSheetId="3">#REF!</definedName>
    <definedName name="spread_anual">#REF!</definedName>
    <definedName name="spreadanual" localSheetId="1">#REF!</definedName>
    <definedName name="spreadanual" localSheetId="4">#REF!</definedName>
    <definedName name="spreadanual" localSheetId="3">#REF!</definedName>
    <definedName name="spreadanual">#REF!</definedName>
    <definedName name="ssssssss" localSheetId="1">#REF!</definedName>
    <definedName name="ssssssss" localSheetId="4">#REF!</definedName>
    <definedName name="ssssssss" localSheetId="3">#REF!</definedName>
    <definedName name="ssssssss">#REF!</definedName>
    <definedName name="t">'[15]D Circ Tot'!$F$7:$H$62</definedName>
    <definedName name="Tabela">'[12]D Circ Dia'!$C$10:$BA$30</definedName>
    <definedName name="Teste">'[12]D Circ Tot'!$A:$A</definedName>
    <definedName name="TipoAnuTodos">'[10]Config'!$B$21</definedName>
    <definedName name="toggle" localSheetId="1">#REF!</definedName>
    <definedName name="toggle" localSheetId="4">#REF!</definedName>
    <definedName name="toggle" localSheetId="3">#REF!</definedName>
    <definedName name="toggle">#REF!</definedName>
    <definedName name="Total_Investimentos" localSheetId="1">#REF!</definedName>
    <definedName name="Total_Investimentos" localSheetId="4">#REF!</definedName>
    <definedName name="Total_Investimentos" localSheetId="3">#REF!</definedName>
    <definedName name="Total_Investimentos">#REF!</definedName>
    <definedName name="Total_Texto">'[22]Total'!$R$5</definedName>
    <definedName name="tr" localSheetId="1">#REF!</definedName>
    <definedName name="tr" localSheetId="4">#REF!</definedName>
    <definedName name="tr" localSheetId="3">#REF!</definedName>
    <definedName name="tr">#REF!</definedName>
    <definedName name="Tráfego" localSheetId="1">#REF!</definedName>
    <definedName name="Tráfego" localSheetId="4">#REF!</definedName>
    <definedName name="Tráfego" localSheetId="3">#REF!</definedName>
    <definedName name="Tráfego">#REF!</definedName>
    <definedName name="TRANSACTIONCOST">'[23]Sources_Uses'!$D$14</definedName>
    <definedName name="tx_R__U__fev" localSheetId="1">#REF!</definedName>
    <definedName name="tx_R__U__fev" localSheetId="4">#REF!</definedName>
    <definedName name="tx_R__U__fev" localSheetId="3">#REF!</definedName>
    <definedName name="tx_R__U__fev">#REF!</definedName>
    <definedName name="tx_R__U__jan" localSheetId="1">#REF!</definedName>
    <definedName name="tx_R__U__jan" localSheetId="4">#REF!</definedName>
    <definedName name="tx_R__U__jan" localSheetId="3">#REF!</definedName>
    <definedName name="tx_R__U__jan">#REF!</definedName>
    <definedName name="ty">'[15]D Circ Dia'!$B$53</definedName>
    <definedName name="ui">'[15]D Circ Dia'!$B$65</definedName>
    <definedName name="ULTMES" localSheetId="1">#REF!</definedName>
    <definedName name="ULTMES" localSheetId="4">#REF!</definedName>
    <definedName name="ULTMES" localSheetId="3">#REF!</definedName>
    <definedName name="ULTMES">#REF!</definedName>
    <definedName name="uy">'[15]D Circ Dia'!$B$125:$O$171</definedName>
    <definedName name="v">#REF!</definedName>
    <definedName name="Vania">'[7]Config'!$G$25</definedName>
    <definedName name="VVVV">'[15]D Circ Dia'!$B$125:$O$171</definedName>
    <definedName name="VVVVVVVVVV" localSheetId="1">#REF!</definedName>
    <definedName name="VVVVVVVVVV" localSheetId="4">#REF!</definedName>
    <definedName name="VVVVVVVVVV" localSheetId="3">#REF!</definedName>
    <definedName name="VVVVVVVVVV">#REF!</definedName>
    <definedName name="VVVVVVVVVVVVVVVVVVVVVV">'[15]D Circ Dia'!$C$10:$BA$30</definedName>
    <definedName name="we">'[15]D Circ Dia'!$B$9</definedName>
    <definedName name="wq">'[15]D Circ Dia'!$C$10:$BA$30</definedName>
    <definedName name="wrn.Model." localSheetId="4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3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localSheetId="2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localSheetId="4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localSheetId="3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localSheetId="2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Telet." localSheetId="4" hidden="1">{#N/A,#N/A,FALSE,"Valuation Summary";#N/A,#N/A,FALSE,"BT IS";#N/A,#N/A,FALSE,"BT CF";#N/A,#N/A,FALSE,"BT BS";#N/A,#N/A,FALSE,"BT FCF";#N/A,#N/A,FALSE,"BT Model";#N/A,#N/A,FALSE,"BT Finance"}</definedName>
    <definedName name="wrn.Telet." localSheetId="3" hidden="1">{#N/A,#N/A,FALSE,"Valuation Summary";#N/A,#N/A,FALSE,"BT IS";#N/A,#N/A,FALSE,"BT CF";#N/A,#N/A,FALSE,"BT BS";#N/A,#N/A,FALSE,"BT FCF";#N/A,#N/A,FALSE,"BT Model";#N/A,#N/A,FALSE,"BT Finance"}</definedName>
    <definedName name="wrn.Telet." localSheetId="2" hidden="1">{#N/A,#N/A,FALSE,"Valuation Summary";#N/A,#N/A,FALSE,"BT IS";#N/A,#N/A,FALSE,"BT CF";#N/A,#N/A,FALSE,"BT BS";#N/A,#N/A,FALSE,"BT FCF";#N/A,#N/A,FALSE,"BT Model";#N/A,#N/A,FALSE,"BT Finance"}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xxxxxxx" localSheetId="1">#REF!</definedName>
    <definedName name="xxxxxxx" localSheetId="4">#REF!</definedName>
    <definedName name="xxxxxxx" localSheetId="3">#REF!</definedName>
    <definedName name="xxxxxxx">#REF!</definedName>
    <definedName name="y">'[15]D Circ Tot'!$F$7:$H$52</definedName>
    <definedName name="yt" localSheetId="1">#REF!</definedName>
    <definedName name="yt" localSheetId="4">#REF!</definedName>
    <definedName name="yt" localSheetId="3">#REF!</definedName>
    <definedName name="yt">#REF!</definedName>
    <definedName name="yu">'[15]D Circ Dia'!$B$59</definedName>
    <definedName name="z" localSheetId="1">#REF!</definedName>
    <definedName name="z" localSheetId="4">#REF!</definedName>
    <definedName name="z" localSheetId="3">#REF!</definedName>
    <definedName name="z">#REF!</definedName>
    <definedName name="zzzzzzz" localSheetId="1" hidden="1">#REF!</definedName>
    <definedName name="zzzzzzz" localSheetId="4" hidden="1">#REF!</definedName>
    <definedName name="zzzzzzz" localSheetId="3" hidden="1">#REF!</definedName>
    <definedName name="zzzzzzz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<sst xmlns="http://schemas.openxmlformats.org/spreadsheetml/2006/main" count="1227" uniqueCount="1109">
  <si>
    <t>IATE CLUBE DE BRASÍLIA</t>
  </si>
  <si>
    <t>(Valores expressos em milhares de reais)</t>
  </si>
  <si>
    <t xml:space="preserve">Notas </t>
  </si>
  <si>
    <t>ATIVO</t>
  </si>
  <si>
    <t>explicativas</t>
  </si>
  <si>
    <t>PASSIVO</t>
  </si>
  <si>
    <t>Ativo circulante</t>
  </si>
  <si>
    <t>Passivo circulante</t>
  </si>
  <si>
    <t>Caixa e equivalente de caixa</t>
  </si>
  <si>
    <t>Valores a receber</t>
  </si>
  <si>
    <t>Obrigações sociais</t>
  </si>
  <si>
    <t>Adiantamentos</t>
  </si>
  <si>
    <t>Obrigações fiscais</t>
  </si>
  <si>
    <t>Outros créditos</t>
  </si>
  <si>
    <t>Outras obrigações</t>
  </si>
  <si>
    <t>Estoques</t>
  </si>
  <si>
    <t xml:space="preserve">Total ativo circulante </t>
  </si>
  <si>
    <t>Total do passivo circulante</t>
  </si>
  <si>
    <t>Passivo não circulante</t>
  </si>
  <si>
    <t>Créditos em cobrança</t>
  </si>
  <si>
    <t>Créditos pendentes</t>
  </si>
  <si>
    <t>Imobilizado</t>
  </si>
  <si>
    <t>Total do passivo não circulante</t>
  </si>
  <si>
    <t>Intangível</t>
  </si>
  <si>
    <t>Total ativo não circulante</t>
  </si>
  <si>
    <t>PATRIMÔNIO LÍQUIDO</t>
  </si>
  <si>
    <t>Títulos associados</t>
  </si>
  <si>
    <t>Contribuições para investimentos</t>
  </si>
  <si>
    <t>Ajuste de avaliação patrimonial</t>
  </si>
  <si>
    <t>Superávit/Déficit acumulado</t>
  </si>
  <si>
    <t xml:space="preserve">                                          </t>
  </si>
  <si>
    <t>Total do patrimônio líquido</t>
  </si>
  <si>
    <t>TOTAL DO ATIVO</t>
  </si>
  <si>
    <t>TOTAL DO PASSIVO E PATRIMÔNIO LÍQUIDO</t>
  </si>
  <si>
    <t>DEMONSTRAÇÃO DO RESULTADO</t>
  </si>
  <si>
    <t>Notas Explicativas</t>
  </si>
  <si>
    <t>RECEITAS OPERACIONAIS</t>
  </si>
  <si>
    <t>CIATE</t>
  </si>
  <si>
    <t>TOTAL DAS RECEITAS OPERACIONAIS</t>
  </si>
  <si>
    <t>DESPESAS OPERACIONAIS</t>
  </si>
  <si>
    <t>TOTAL DAS DESPESAS OPERACIONAIS</t>
  </si>
  <si>
    <t>RESULTADO OPERACIONAL</t>
  </si>
  <si>
    <t>Receitas financeiras</t>
  </si>
  <si>
    <t>Despesas financeiras</t>
  </si>
  <si>
    <t>SUPERÁVIT DO EXERCÍCIO</t>
  </si>
  <si>
    <t>VARIAÇÃO DO CAIXA E EQUIVALENTES DE CAIXA</t>
  </si>
  <si>
    <t>Final do exercício</t>
  </si>
  <si>
    <t>Início do exercício</t>
  </si>
  <si>
    <t>SALDO DE CAIXA E EQUIVALENTES DE CAIXA</t>
  </si>
  <si>
    <t>IV - DEMONSTRAÇÃO DA VARIAÇÃO DO CAIXA E EQUIVALENTES DE CAIXA</t>
  </si>
  <si>
    <t>III - AUMENTO LÍQUIDO DO CAIXA E EQUIVALENTES DE CAIXA</t>
  </si>
  <si>
    <t>Caixa líquido consumido nas atividades de investimentos</t>
  </si>
  <si>
    <t>Alienação de bens</t>
  </si>
  <si>
    <t>II - ATIVIDADES DE INVESTIMENTOS</t>
  </si>
  <si>
    <t>Caixa líquido gerado nas atividades operacionais</t>
  </si>
  <si>
    <t>Redução/Aumento das contas do passivo:</t>
  </si>
  <si>
    <t xml:space="preserve"> Redução/(Aumento) das contas do ativo:</t>
  </si>
  <si>
    <t>Ajustes ao lucro de eventos que não afetam o caixa:</t>
  </si>
  <si>
    <t>Superávit/Déficit do exercício</t>
  </si>
  <si>
    <t xml:space="preserve"> I - ATIVIDADES OPERACIONAIS </t>
  </si>
  <si>
    <t>Fornecedores e credores diversos</t>
  </si>
  <si>
    <t>Processos judiciais passivos</t>
  </si>
  <si>
    <t>RESULTADO FINANCEIRO LIQUIDO</t>
  </si>
  <si>
    <t>DEMONSTRAÇÃO DAS MUTAÇÕES DO PATRIMÔNIO LÍQUIDO</t>
  </si>
  <si>
    <t>Ajuste de contas</t>
  </si>
  <si>
    <t>Ajuste Avaliação Patrimonial</t>
  </si>
  <si>
    <t>Títulos em Tesouraria</t>
  </si>
  <si>
    <t>Superávit do exercício</t>
  </si>
  <si>
    <t>Saldos em 31 de dezembro de 2017</t>
  </si>
  <si>
    <t>Absorção do resultado</t>
  </si>
  <si>
    <t>Realização do ajuste de avaliação patrimonial</t>
  </si>
  <si>
    <t xml:space="preserve">Aplicações no ativo imobilizado e intangível </t>
  </si>
  <si>
    <t>Variação avaliação patrimonial (positiva)</t>
  </si>
  <si>
    <t>Variação avaliação patrimonial (negativa)</t>
  </si>
  <si>
    <t>Receitas Contribuição da Administração</t>
  </si>
  <si>
    <t>Receitas - Operações</t>
  </si>
  <si>
    <t>Receitas de Reembolso</t>
  </si>
  <si>
    <t>Receitas - Venda de Imobilizados</t>
  </si>
  <si>
    <t>Receita c/ Ponto de Abastecimento</t>
  </si>
  <si>
    <t>Outras Receitas</t>
  </si>
  <si>
    <t>Contribuição de Aplicação Patrimonial</t>
  </si>
  <si>
    <t>Provisionamento para Reserva de Emergencia</t>
  </si>
  <si>
    <t>Despesas - Pessoal</t>
  </si>
  <si>
    <t>Despesas - Serviços</t>
  </si>
  <si>
    <t>Despesas - Tributos E Impostos</t>
  </si>
  <si>
    <t>Despesas - Viagens</t>
  </si>
  <si>
    <t>Despesas - Administração</t>
  </si>
  <si>
    <t>Despesas Com Indenizações Judiciais</t>
  </si>
  <si>
    <t>Prejuízo</t>
  </si>
  <si>
    <t>Saldos em 31 de dezembro de 2018</t>
  </si>
  <si>
    <t>Código Contábil</t>
  </si>
  <si>
    <t>Nomenclatura da Conta</t>
  </si>
  <si>
    <t>Saldo anterior</t>
  </si>
  <si>
    <t>Débitos</t>
  </si>
  <si>
    <t>Créditos</t>
  </si>
  <si>
    <t>Saldo atual</t>
  </si>
  <si>
    <t>CIRCULANTE</t>
  </si>
  <si>
    <t>CAIXA E EQUIVALENTES DE CAIXA</t>
  </si>
  <si>
    <t>CAIXA GERAL</t>
  </si>
  <si>
    <t>Caixa</t>
  </si>
  <si>
    <t>NUMERÁRIOS EM TRANSITO</t>
  </si>
  <si>
    <t>Carro Forte/Cofre</t>
  </si>
  <si>
    <t>BANCOS CONTA MOVIMENTO</t>
  </si>
  <si>
    <t>BANCO DO BRASIL</t>
  </si>
  <si>
    <t>BB - AG 0452-9  C/C 220.460-6</t>
  </si>
  <si>
    <t>BANCO ITAU S/A</t>
  </si>
  <si>
    <t>Itau - C/C 08.884-8</t>
  </si>
  <si>
    <t>BANCO DE BRASILIA S/A</t>
  </si>
  <si>
    <t>BRB - C/C 601.013-8</t>
  </si>
  <si>
    <t>BANCO SANTANDER</t>
  </si>
  <si>
    <t>Santander - C/C 13004476-4</t>
  </si>
  <si>
    <t>Santander - C/C 13000546-2</t>
  </si>
  <si>
    <t>APLICAÇÕES FINANCEIRAS</t>
  </si>
  <si>
    <t>APLICAÇOES FINANCEIRAS - BANCO DO BRASIL S/A</t>
  </si>
  <si>
    <t>BB - Aplicacações - CDB/RDB</t>
  </si>
  <si>
    <t>APLICAÇÕES FINANCEIRAS - BANCO ITAU S/A</t>
  </si>
  <si>
    <t>ITAU - Aplicações - CDB/RDB</t>
  </si>
  <si>
    <t>ITAU - Aplicações - Aplic. Aut. Mais</t>
  </si>
  <si>
    <t>APLICAÇÃO - BRB S/A</t>
  </si>
  <si>
    <t>BRB - Aplicação - sem restrições</t>
  </si>
  <si>
    <t>APLICAÇÃO FINANCEIRA - SANTANDER</t>
  </si>
  <si>
    <t>Aplicação Santander</t>
  </si>
  <si>
    <t>Aplicação Santander - FIC FI EMPRESAS</t>
  </si>
  <si>
    <t>Aplicação Santander 13000546-2 APLIC AUT CONTAMAX</t>
  </si>
  <si>
    <t>VALORES A RECEBER</t>
  </si>
  <si>
    <t>CONTAS A RECEBER</t>
  </si>
  <si>
    <t>CONTRIBUIÇÕES A RECEBER - ASSOCIADOS</t>
  </si>
  <si>
    <t>Contribuições a Receber - Sócios</t>
  </si>
  <si>
    <t>Adiantamento a Receber - Sócios</t>
  </si>
  <si>
    <t>(-) Provisão para Créditos de Liquidação Duvidosa-Contribuições a receber</t>
  </si>
  <si>
    <t>(-) Créditos Não Identificados</t>
  </si>
  <si>
    <t>TÍTULOS A RECEBER</t>
  </si>
  <si>
    <t>CHEQUES A RECEBER</t>
  </si>
  <si>
    <t>Cheques pré-datados</t>
  </si>
  <si>
    <t>Cheques Devolvidos</t>
  </si>
  <si>
    <t>CARTÕES DE CRÉDITO-DÉBITO</t>
  </si>
  <si>
    <t>Cartão de Crédito/CIELO</t>
  </si>
  <si>
    <t>Cartão de Débito/CIELO</t>
  </si>
  <si>
    <t>OUTRAS CONTAS A RECEBER</t>
  </si>
  <si>
    <t>Aluguéis a Receber</t>
  </si>
  <si>
    <t>(-) Provisão para Créditos de Liquidação Duvidosa-Aluguéis a receber</t>
  </si>
  <si>
    <t>ADIANTAMENTOS</t>
  </si>
  <si>
    <t>ADIANTAMENTOS - OPERAÇÕES PRÓPRIAS</t>
  </si>
  <si>
    <t>ADIANTAMENTOS A COLABORADORES</t>
  </si>
  <si>
    <t>Adiantamento - Salários</t>
  </si>
  <si>
    <t>Adiantamento-Férias</t>
  </si>
  <si>
    <t>Adiantamento - 13º salário</t>
  </si>
  <si>
    <t>Adiantamento SESC</t>
  </si>
  <si>
    <t>ADIANTAMENTOS A FORNECEDORES</t>
  </si>
  <si>
    <t>Adiantamentos - Fornecedores Nacionais</t>
  </si>
  <si>
    <t>ESTOQUES</t>
  </si>
  <si>
    <t>ESTOQUES REVENDA/USO E CONSUMO</t>
  </si>
  <si>
    <t>ESTOQUE DE MATERIAL PARA REVENDA</t>
  </si>
  <si>
    <t>Combustiveis e Lubrificantes</t>
  </si>
  <si>
    <t>ESTOQUE DE MATERIAL DE USO E CONSUMO</t>
  </si>
  <si>
    <t>Estoque de Material de Uso e Consumo - Geral</t>
  </si>
  <si>
    <t>OUTROS VALORES - CURTO PRAZO</t>
  </si>
  <si>
    <t>DEPOSITOS JUDICIAIS</t>
  </si>
  <si>
    <t>AÇÕES - CÍVEIS</t>
  </si>
  <si>
    <t>Ações Cíveis - 1ª Instância</t>
  </si>
  <si>
    <t>ATIVO NÃO CIRCULANTE</t>
  </si>
  <si>
    <t>ATIVO REALIZÁVEL A LONGO PRAZO</t>
  </si>
  <si>
    <t>CRÉDITOS EM COBRANCA</t>
  </si>
  <si>
    <t>EXECUÇÃO ADM./JUDICIAL</t>
  </si>
  <si>
    <t>Cheques em Cobrança</t>
  </si>
  <si>
    <t>Títulos em Cobrança</t>
  </si>
  <si>
    <t>Obras de Arte</t>
  </si>
  <si>
    <t>(-) Computadores e Periféricos</t>
  </si>
  <si>
    <t>Direito de Uso de Software</t>
  </si>
  <si>
    <t>Informática - ERP</t>
  </si>
  <si>
    <t>TERRENOS</t>
  </si>
  <si>
    <t>PASSIVO CIRCULANTE</t>
  </si>
  <si>
    <t>OBRIGAÇÕES DE CURTO PRAZO</t>
  </si>
  <si>
    <t>FORNECEDORES E CREDORES</t>
  </si>
  <si>
    <t>FORNECEDORES</t>
  </si>
  <si>
    <t>Fornecedores - Nacionais</t>
  </si>
  <si>
    <t>CREDORES</t>
  </si>
  <si>
    <t>Credores Diversos</t>
  </si>
  <si>
    <t>OBRIGAÇÕES DIVERSAS</t>
  </si>
  <si>
    <t>Obrigações c/Concessionarios</t>
  </si>
  <si>
    <t>Obrigações c/Socios</t>
  </si>
  <si>
    <t>OBRIGAÇÕES C/ PESSOAL</t>
  </si>
  <si>
    <t>OBRIGAÇÕES DIRETAS C/ FUNCIONÁRIOS</t>
  </si>
  <si>
    <t>Salários a Pagar</t>
  </si>
  <si>
    <t>Férias a Pagar</t>
  </si>
  <si>
    <t>Rescisão a Pagar</t>
  </si>
  <si>
    <t>13º Salário a Pagar</t>
  </si>
  <si>
    <t>Pensão Alimenticia a Pagar</t>
  </si>
  <si>
    <t>Estagiários a Pagar</t>
  </si>
  <si>
    <t>Serviços de Terceiros a Pagar</t>
  </si>
  <si>
    <t>OBRIGAÇÕES INDIRETAS C/ FUNCIONARIOS</t>
  </si>
  <si>
    <t>Empréstimos Consignados - BRB</t>
  </si>
  <si>
    <t>Empréstimos Consignados - BV</t>
  </si>
  <si>
    <t>OBRIGAÇÕES C/ FUNCIONÁRIOS - PROVISOES</t>
  </si>
  <si>
    <t>Provisão de Férias</t>
  </si>
  <si>
    <t>Provisão de INSS s/ Férias</t>
  </si>
  <si>
    <t>Provisão de FGTS s/ Férias</t>
  </si>
  <si>
    <t>Provisão de PIS s/  Férias</t>
  </si>
  <si>
    <t>Provisão de 13º Salário</t>
  </si>
  <si>
    <t>Provisão de INSS s/ 13º Salário</t>
  </si>
  <si>
    <t>Provisão de FGTS s/ 13º Salário</t>
  </si>
  <si>
    <t>Provisão de PIS s/ 13º Salário</t>
  </si>
  <si>
    <t>Provisão de Indenizações Trabalhistas</t>
  </si>
  <si>
    <t>OBRIGAÇÕES C/ FISCO</t>
  </si>
  <si>
    <t>OBRIGAÇÕES C/ FISCO - RETENÇÃO DE IMPOSTOS</t>
  </si>
  <si>
    <t>PIS/COFINS/ CSLL - Lei 10833/03 Art. 30 a Recolher</t>
  </si>
  <si>
    <t>INSS s/ Serviços Retido de Terceiros a Recolher</t>
  </si>
  <si>
    <t>IRRF s/ Serviços Terceiros</t>
  </si>
  <si>
    <t>ISS s/ Serviços Prestados a Recolher</t>
  </si>
  <si>
    <t>COFINS a Recolher</t>
  </si>
  <si>
    <t>Impostos e Contribuições</t>
  </si>
  <si>
    <t>OBRIGAÇÕES C/ FISCO - FOLHA DE PAGAMENTO</t>
  </si>
  <si>
    <t>FGTS A Recolher</t>
  </si>
  <si>
    <t>INSS a Recolher (GPS)</t>
  </si>
  <si>
    <t>PIS s/ Folha de Pagamento</t>
  </si>
  <si>
    <t>IRRF s/ Folha de Pagamento</t>
  </si>
  <si>
    <t>OUTRAS CONTAS  A PAGAR</t>
  </si>
  <si>
    <t>OBRIGAÇÕES C/ SINDICATOS E ASSOCIAÇÕES</t>
  </si>
  <si>
    <t>Contribuição Sindical</t>
  </si>
  <si>
    <t>OUTRAS OBRIGAÇÕES</t>
  </si>
  <si>
    <t>Provisão de Indenizações Civis</t>
  </si>
  <si>
    <t>Caução Concessionários</t>
  </si>
  <si>
    <t>RECEBIMENTO  DE SÓCIOS</t>
  </si>
  <si>
    <t>Créditos Não Identificados</t>
  </si>
  <si>
    <t>Adiantamento de Sócios</t>
  </si>
  <si>
    <t>PATRIMONIO LIQUIDO</t>
  </si>
  <si>
    <t>PATRIMONIO SOCIAL</t>
  </si>
  <si>
    <t>Titulos Patrimoniais</t>
  </si>
  <si>
    <t>Títulos Patrimoniais</t>
  </si>
  <si>
    <t>Contribuições Investimentos Patrimoniais</t>
  </si>
  <si>
    <t>Ajuste de Avaliação Patrimonial</t>
  </si>
  <si>
    <t>Ajuste Reavaliação de Terreno</t>
  </si>
  <si>
    <t>Títulos Tesouraria - Proprietários</t>
  </si>
  <si>
    <t>Títulos Tesouraria - Familiares</t>
  </si>
  <si>
    <t>Ajuste de Exercícios Anteriores</t>
  </si>
  <si>
    <t>VARIAÇÃO PATRIMONIAL</t>
  </si>
  <si>
    <t>Superavit / Deficit Acumulado</t>
  </si>
  <si>
    <t>Superavit</t>
  </si>
  <si>
    <t>RESULTADO DO EXERCICIO</t>
  </si>
  <si>
    <t>RECEITAS TOTAIS</t>
  </si>
  <si>
    <t>RECEITAS CORRENTES</t>
  </si>
  <si>
    <t>OUTRAS RECEITAS</t>
  </si>
  <si>
    <t>DESPESAS TOTAIS</t>
  </si>
  <si>
    <t>DESPESAS CORRENTES</t>
  </si>
  <si>
    <t>Despesas c/Vale Transporte</t>
  </si>
  <si>
    <t>Despesa c/Vale Refeição e Alimentação</t>
  </si>
  <si>
    <t>Despesa c/Seguro de Vida</t>
  </si>
  <si>
    <t>Despesas c/Serviços Prestados - RPA</t>
  </si>
  <si>
    <t>Despesas c/Direitos Autorais - ECAD</t>
  </si>
  <si>
    <t>DESPESAS C/INFRAESTRUTURA</t>
  </si>
  <si>
    <t>DESPESAS C/IMOBILIZADO</t>
  </si>
  <si>
    <t>Despesas c/Correspondências e Correios</t>
  </si>
  <si>
    <t>Despesas c/Seguros do Clube</t>
  </si>
  <si>
    <t>Despesas c/Assinatura de Jornais e Revistas</t>
  </si>
  <si>
    <t>Despesas c/Comissões Bancárias</t>
  </si>
  <si>
    <t>Despesas c/IOF e IOC</t>
  </si>
  <si>
    <t>TRANSITORIAS</t>
  </si>
  <si>
    <t>TRANSITÓRIAS</t>
  </si>
  <si>
    <t>TRANSITORIA FINANCEIRO</t>
  </si>
  <si>
    <t>Trasitoria de Estoque</t>
  </si>
  <si>
    <t>TRANSITORIA DE IMPOSTOS</t>
  </si>
  <si>
    <t>TRANSITORIAS DE IMPOSTOS RETIDOS</t>
  </si>
  <si>
    <t>TRANSITORIA DE IMPOSTOS RETIDOS</t>
  </si>
  <si>
    <t>Transitoria de IR Retido PJ</t>
  </si>
  <si>
    <t>Transitoria de IR Retido PF</t>
  </si>
  <si>
    <t>Transitoria de PIS/COFINS/CSLL Retido PJ</t>
  </si>
  <si>
    <t>Transitoria de INSS Retido PJ</t>
  </si>
  <si>
    <t>Transitoria de ISS Retido PJ</t>
  </si>
  <si>
    <t>Transitoria de ISS Retido PF</t>
  </si>
  <si>
    <t>TRANSITORIA DA FOLHA DE PAGAMENTO</t>
  </si>
  <si>
    <t>TRANSITORIA DA FOLHA DE PGTO</t>
  </si>
  <si>
    <t>Transitoria da Folha de Pagamento</t>
  </si>
  <si>
    <t>Ativo</t>
  </si>
  <si>
    <t>Passivo</t>
  </si>
  <si>
    <t>Resultado</t>
  </si>
  <si>
    <t>Total</t>
  </si>
  <si>
    <t>Baixa de títulos em tesouraria</t>
  </si>
  <si>
    <t>Fundo Fixo</t>
  </si>
  <si>
    <t>INVESTIMENTOS</t>
  </si>
  <si>
    <t>Obrigações Diversas</t>
  </si>
  <si>
    <t>PERDAS DE CAPITAL</t>
  </si>
  <si>
    <t>LIQUIDEZ CORRENTE</t>
  </si>
  <si>
    <t xml:space="preserve">PASSIVO CIRCULANTE </t>
  </si>
  <si>
    <t>LIQUIDEZ IMEDIATA</t>
  </si>
  <si>
    <r>
      <t xml:space="preserve">    ATIVO CIRCULANTE    </t>
    </r>
    <r>
      <rPr>
        <b/>
        <u val="single"/>
        <sz val="9"/>
        <color indexed="9"/>
        <rFont val="Calibri"/>
        <family val="2"/>
      </rPr>
      <t xml:space="preserve">  .</t>
    </r>
    <r>
      <rPr>
        <b/>
        <u val="single"/>
        <sz val="9"/>
        <color indexed="8"/>
        <rFont val="Calibri"/>
        <family val="2"/>
      </rPr>
      <t xml:space="preserve"> </t>
    </r>
  </si>
  <si>
    <t>Desconto Obtidos</t>
  </si>
  <si>
    <t>Depreciação/amortização do período</t>
  </si>
  <si>
    <t>Receitas de Patrocinio por permuta</t>
  </si>
  <si>
    <t>Reserva com Contingencia</t>
  </si>
  <si>
    <t>DISPONÍVEL</t>
  </si>
  <si>
    <t>Aquisição de títulos em tesouraria</t>
  </si>
  <si>
    <t>Depreciação/ Amortização</t>
  </si>
  <si>
    <t xml:space="preserve">    IATE CLUBE DE BRASÍLIA</t>
  </si>
  <si>
    <t>RUDI FINGER</t>
  </si>
  <si>
    <t xml:space="preserve">                JOÃO ALFREDO DE MENDONÇA UCHÔA</t>
  </si>
  <si>
    <t xml:space="preserve">COMODORO </t>
  </si>
  <si>
    <t xml:space="preserve">    DIRETOR FINANCEIRO</t>
  </si>
  <si>
    <t>CPF: 140.574.920-20</t>
  </si>
  <si>
    <t xml:space="preserve">    CPF: 153.070.341-72</t>
  </si>
  <si>
    <t>JOHN CLAY MATIAS BARROS</t>
  </si>
  <si>
    <t xml:space="preserve">       CPF: 820.658.291-68</t>
  </si>
  <si>
    <t>CONTADOR - CRC DF: 011879/O</t>
  </si>
  <si>
    <t>____________________________________</t>
  </si>
  <si>
    <t>_________________________________</t>
  </si>
  <si>
    <t>DEMONSTRAÇÃO DOS FLUXOS DE CAIXA - MÉTODO INDIRETO</t>
  </si>
  <si>
    <t xml:space="preserve">Obrigações sociais/ fiscias/ proc. judiciais </t>
  </si>
  <si>
    <t>Títulos Associados</t>
  </si>
  <si>
    <t>Ajustes de exercícios anteriores</t>
  </si>
  <si>
    <t>As notas explicativas são partes integrantes das demonstrações contábeis.</t>
  </si>
  <si>
    <t>______________________________________________</t>
  </si>
  <si>
    <t>___________________________________________</t>
  </si>
  <si>
    <t>Ativo Realizável a longo prazo</t>
  </si>
  <si>
    <t>Recuperação Despesas</t>
  </si>
  <si>
    <t>Recuperação Despesas Salarios</t>
  </si>
  <si>
    <t>Ativo não circulante</t>
  </si>
  <si>
    <t>________________________________</t>
  </si>
  <si>
    <t>Recuperação de Despesas Processos Judiciais</t>
  </si>
  <si>
    <t>DEMONSTRAÇÃO DO RESULTADO ABRANGENTE</t>
  </si>
  <si>
    <t>Superávit do Exercício</t>
  </si>
  <si>
    <t>Ajuste de exercícios anteriores</t>
  </si>
  <si>
    <t>Resultado Abrangente do Exercício</t>
  </si>
  <si>
    <t>__________________________________________</t>
  </si>
  <si>
    <t>____________________________________________</t>
  </si>
  <si>
    <t>BALANÇO PATRIMONIAL EM 31 DE DEZEMBRO DE 2019</t>
  </si>
  <si>
    <t>PARA OS EXERCÍCIOS FINDOS EM 31 DE DEZEMBRO DE 2019</t>
  </si>
  <si>
    <t>Brasília, 31 de Dezembro de 2019.</t>
  </si>
  <si>
    <t>PARA OS EXERCÍCIOS FINDOS EM 31 DE DEZEMBRO DE 2019 E DE 2018</t>
  </si>
  <si>
    <t>Brasília, 31 de dezembro de 2019.</t>
  </si>
  <si>
    <t>Saldos em 31 de dezembro de 2019</t>
  </si>
  <si>
    <t>Brasíllia, 31 de dezembro de 2019.</t>
  </si>
  <si>
    <t>BALANCETE ACUMULADO - DEZEMBRO/2019</t>
  </si>
  <si>
    <t>Caixa Sauna</t>
  </si>
  <si>
    <t>BB - AG 0452-9 C/C 49469-0</t>
  </si>
  <si>
    <t>BB POUPANÇA - AG 7006-8 C/C 5752-5</t>
  </si>
  <si>
    <t>BRB - C/C 100.060243-2</t>
  </si>
  <si>
    <t>Contribuições a Receber (Boletos não gerados)</t>
  </si>
  <si>
    <t>Adiantamento a Terceiros Descontos em Folha</t>
  </si>
  <si>
    <t>Adiantamento SESI</t>
  </si>
  <si>
    <t>IMPOSTO A RECUPERAR</t>
  </si>
  <si>
    <t>IMPOSTOS E CONTRIBUIÇÕES</t>
  </si>
  <si>
    <t>IMPOSTO S/SERVIÇOS PRESTADOS</t>
  </si>
  <si>
    <t>INSS a Compensar</t>
  </si>
  <si>
    <t>Estoque de Material de Uso e Consumo - DARH</t>
  </si>
  <si>
    <t>DESPESAS ANTECIPADAS</t>
  </si>
  <si>
    <t>DESPESAS - ANTECIPADAS</t>
  </si>
  <si>
    <t>Seguros</t>
  </si>
  <si>
    <t>AÇÕES - TRABALHISTAS</t>
  </si>
  <si>
    <t>Ações Trabalhistas - 1ª Instancia</t>
  </si>
  <si>
    <t>IMOBILIZADO</t>
  </si>
  <si>
    <t>Bens a Imobilizar</t>
  </si>
  <si>
    <t>INTANGÍVEL</t>
  </si>
  <si>
    <t>BENS</t>
  </si>
  <si>
    <t>Bens, Equipamento e Edificações em Construções</t>
  </si>
  <si>
    <t>Construções e ampliações em andamento</t>
  </si>
  <si>
    <t>Projetos e Orçamentos p/Investimentos do Ano Corrente</t>
  </si>
  <si>
    <t>Bens Imobilizados</t>
  </si>
  <si>
    <t>(-) Ajuste de Reavaliação de Terreno</t>
  </si>
  <si>
    <t>Edificações, Vias e Acessos</t>
  </si>
  <si>
    <t>Instalações</t>
  </si>
  <si>
    <t>Móveis, Máquinas, Equipamentos e Ferramentas</t>
  </si>
  <si>
    <t>Veículos</t>
  </si>
  <si>
    <t>Embarcações</t>
  </si>
  <si>
    <t>Computadores e Periféricos</t>
  </si>
  <si>
    <t>INVESTIMENTOS DO ANO CORRENTE</t>
  </si>
  <si>
    <t>Edificações, Vias e Acessos do Ano Corrente</t>
  </si>
  <si>
    <t>Instalações do Ano Corrente</t>
  </si>
  <si>
    <t>Móveis, Máquinas, Equipamentos e Ferramentas de Ano Corrente</t>
  </si>
  <si>
    <t>Veículos Ano Corrente</t>
  </si>
  <si>
    <t>Computadores e Periféricos Ano Corrente</t>
  </si>
  <si>
    <t>(-) DEPRECIAÇÃO ACUMULADA</t>
  </si>
  <si>
    <t>(-) Edificações, Vias e Acessos</t>
  </si>
  <si>
    <t>(-) Instalações</t>
  </si>
  <si>
    <t>(-) Móveis, Máquinas, Equipamentos e Ferramentas</t>
  </si>
  <si>
    <t>(-) Veículos</t>
  </si>
  <si>
    <t>(-) Embarcações</t>
  </si>
  <si>
    <t>Obrigações c/ concessionários - Boletos não gerados</t>
  </si>
  <si>
    <t>Obrigações com funcionários por ganho eventual</t>
  </si>
  <si>
    <t>Convênios c/ Planos de Saúde - Ideal Saúde</t>
  </si>
  <si>
    <t>Convênios c/ Plano de Saúde - Unimed</t>
  </si>
  <si>
    <t>Empréstimos Consignados - Santander</t>
  </si>
  <si>
    <t>Títulos Retomados</t>
  </si>
  <si>
    <t>Obrigações Deposito Recursais de Concessionários</t>
  </si>
  <si>
    <t>Adiantamento - Colônia de Férias</t>
  </si>
  <si>
    <t>OBRIGAÇÕES JUDICIAIS PASSIVOS</t>
  </si>
  <si>
    <t>PROVISÕES DE INDEINIZAÇÕES JUDICIAIS</t>
  </si>
  <si>
    <t>Provisões de Indenizações Judiciais Civis</t>
  </si>
  <si>
    <t>PASSIVO NÃO CIRCULANTE</t>
  </si>
  <si>
    <t>PASSIVEL EXIGIVEL A LONGO PRAZO</t>
  </si>
  <si>
    <t>OBRIGAÇÕES C/ SÓCIOS</t>
  </si>
  <si>
    <t>Pagamento em Duplicidade Longo Prazo</t>
  </si>
  <si>
    <t>Deficit</t>
  </si>
  <si>
    <t>Superavit / Deficit do Período</t>
  </si>
  <si>
    <t>Ajuste de Exercícios Anos Anteriores</t>
  </si>
  <si>
    <t>RECEITAS C/CONTRIBUIÇÕES P/ADMINISTRAÇÃO</t>
  </si>
  <si>
    <t>RECEITAS C/CONTRIBUIÇÕES DE MANUTENÇÃO DE PROPRIETÁRIOS</t>
  </si>
  <si>
    <t>Contribuições de Manutenção de Proprietários</t>
  </si>
  <si>
    <t>Contribuições de Manutenção de Dependentes de Proprietário Tipo 1</t>
  </si>
  <si>
    <t>Contribuições de Manutenção de Dependentes de Proprietário Tipo 2</t>
  </si>
  <si>
    <t>Contribuições de Manutenção de Dependentes de Proprietário Tipo 3</t>
  </si>
  <si>
    <t>Contribuições de Manutenção de Dependentes de Proprietário Tipo 4</t>
  </si>
  <si>
    <t>RECEITAS C/CONTRIBUIÇÕES DE MANUTENÇÃO DE USUÁRIOS</t>
  </si>
  <si>
    <t>Contribuições de Manutenção de Usuários de Titulo Proprietário</t>
  </si>
  <si>
    <t>Contribuições de Manutenção de Dependentes de Usuário Tipo 1</t>
  </si>
  <si>
    <t>Contribuições de Manutenção de Dependentes de Usuário Tipo 2</t>
  </si>
  <si>
    <t>Contribuições de Manutenção de Dependentes de Usuário Tipo 3</t>
  </si>
  <si>
    <t>Contribuições de Manutenção de Dependentes de Usuário Tipo 4</t>
  </si>
  <si>
    <t>RECEITAS C/CONTRIBUIÇÕES DE MANUTENÇÃO DE TEMPORÁRIOS</t>
  </si>
  <si>
    <t>Contribuições de Manutenção de Temporários</t>
  </si>
  <si>
    <t>RECEITAS C/CONTRIBUIÇÕES DE MANUTENÇÃO DE CONTRIBUINTES FEMININAS</t>
  </si>
  <si>
    <t>Contribuições de Manutenção de Contribuintes Femininas</t>
  </si>
  <si>
    <t>RECEITAS C/CONTRIBUIÇÕES DE MANUTENÇÃO DE ATLETAS</t>
  </si>
  <si>
    <t>Contribuições de Manutenção de Atletas Tipo 1</t>
  </si>
  <si>
    <t>Contribuições de Manutenção de Atletas Tipo 2</t>
  </si>
  <si>
    <t>RECEITAS C/CONTRIBUIÇÕES DE ADMINISTRAÇÃO (EXPEDIENTE)</t>
  </si>
  <si>
    <t>Receitas c/Admissão ao Quadro Social</t>
  </si>
  <si>
    <t>Receitas c/Admissão de Contribuinte Atleta</t>
  </si>
  <si>
    <t>Receitas c/Emissão de Carteira Social</t>
  </si>
  <si>
    <t>Receitas c/Crachás de Concessionários</t>
  </si>
  <si>
    <t>Receitas c/Emissão de Autorizações Especiais de Acesso</t>
  </si>
  <si>
    <t>Receitas c/Transfêrencia de Titulos</t>
  </si>
  <si>
    <t>Receitas c/Transferência de Vagas de Embarcações</t>
  </si>
  <si>
    <t>RECEITAS DE EVENTOS E ATIVIDADES SOCIAIS, CULTURAIS E ESPORTIVAS</t>
  </si>
  <si>
    <t>Receitas de Ingressos em Eventos Sociais e Culturais</t>
  </si>
  <si>
    <t>Receitas de Inscrições em Eventos Esportivos</t>
  </si>
  <si>
    <t>Receitas de Participação em Escolinhas</t>
  </si>
  <si>
    <t>Receitas de Participação em Cursos e Clínicas</t>
  </si>
  <si>
    <t>Receitas de Participação em Acompanhamento Pedagógico</t>
  </si>
  <si>
    <t>Outras Receitas de Participação em Eventos/Atividades</t>
  </si>
  <si>
    <t>RECEITAS C/MATERIAIS E SERVIÇOS</t>
  </si>
  <si>
    <t>Receitas c/Materiais</t>
  </si>
  <si>
    <t>Receitas c/Práticas Esportivas e outros Eventos Oferecidos por Terceiros</t>
  </si>
  <si>
    <t>RECEITAS C/PATROCÍNIOS</t>
  </si>
  <si>
    <t>Receitas c/Patrocínios a Eventos Sociais e Culturais</t>
  </si>
  <si>
    <t>Receitas c/Patrocínios a Esportes</t>
  </si>
  <si>
    <t>Outras Receitas c/Patrocínios</t>
  </si>
  <si>
    <t>RECEITAS C/LOCAÇÃO E CONCESSÃO DE ESPAÇOS/INSTALAÇÕES</t>
  </si>
  <si>
    <t>Receitas c/Locação de Espaços a Sócios</t>
  </si>
  <si>
    <t>Receitas c/Locação de Espaços a Concessionários/Permisionários</t>
  </si>
  <si>
    <t>Receitas c/Locação de Armários</t>
  </si>
  <si>
    <t>Receitas c/Locação de Outros Espaços/Instalações</t>
  </si>
  <si>
    <t>Receitas c/Concessão de Vagas para Embarcação - Taxa de Embarcação p/Sócios</t>
  </si>
  <si>
    <t>Receitas c/Concessão de Box Náutico</t>
  </si>
  <si>
    <t>OUTRAS RECEITAS OPERACIONAIS</t>
  </si>
  <si>
    <t>Receitas c/Exames Médicos</t>
  </si>
  <si>
    <t>Receitas c/Multas</t>
  </si>
  <si>
    <t>Receitas c/Serviços Sócio</t>
  </si>
  <si>
    <t>Outras Receitas Operacionais Diversas</t>
  </si>
  <si>
    <t>RECEITAS C/VENDA DE IMOBILIZADOS</t>
  </si>
  <si>
    <t>Receitas c/Venda de Bens Inservíveis</t>
  </si>
  <si>
    <t>RECEITAS FINANCEIRAS DE APLICAÇÕES CORRENTES</t>
  </si>
  <si>
    <t>RECEITAS C/INSTITUIÇÕES FINANCEIRAS</t>
  </si>
  <si>
    <t>Rendimentos de Aplicações Financeiras de Receitas Correntes</t>
  </si>
  <si>
    <t>RESULTADO DO ANO ANTERIOR</t>
  </si>
  <si>
    <t>Transferência de Saldos do Ano Anterior</t>
  </si>
  <si>
    <t>Transferência de Saldo do Ano Anterior p/Custeio</t>
  </si>
  <si>
    <t>Transferência de Saldo do Ano Anterior p/Reformas e Substituições</t>
  </si>
  <si>
    <t>Contra-Partida da Realização da Receita Anos Anteriores</t>
  </si>
  <si>
    <t>Receitas c/Descontos Obtidos</t>
  </si>
  <si>
    <t>Recuperação de Despesas</t>
  </si>
  <si>
    <t>Outras Receitas Diversas</t>
  </si>
  <si>
    <t>RECEITAS P/APLICAÇÕES PATRIMONIAIS</t>
  </si>
  <si>
    <t>RECEITAS C/CONTRIBUIÇÕES P/APLICAÇÕES PATRIMONIAIS</t>
  </si>
  <si>
    <t>Contribuições de Proprietários p/Aplicações Patrimoniais</t>
  </si>
  <si>
    <t>Contribuições de Remidos p/Aplicações Patrimoniais</t>
  </si>
  <si>
    <t>Contribuições de Especiais (Empresarial) p/Aplicações Patrimoniais</t>
  </si>
  <si>
    <t>SALDO DE APLICAÇÕES PATRIMONIAIS DE ANOS ANTERIORES</t>
  </si>
  <si>
    <t>Transferência de Saldo de Aplicações Patrimoniais</t>
  </si>
  <si>
    <t>Transferência de Saldo de Aplicações Patrimoniais não Concluídas dos Anos Anteri</t>
  </si>
  <si>
    <t>RECEITAS FINANCEIRAS DE APLICAÇÕES PATRIMONIAIS</t>
  </si>
  <si>
    <t>Rendimentos de Aplic. Fin. s/Arrecadações de Aplicações Patrimoniais</t>
  </si>
  <si>
    <t>Rendimentos de Aplic. Fin. s/Arrecadações de Aplicações Patrimoniais de Anos Ant</t>
  </si>
  <si>
    <t>Contra-Partida da Realização da Receita de Anos Anteriores</t>
  </si>
  <si>
    <t>OUTRAS RECEITAS P/APLICAÇÕES PATRIMONIAIS</t>
  </si>
  <si>
    <t>Outras Receitas p/Aplicações Patrimoniais</t>
  </si>
  <si>
    <t>DESPESAS C/EVENTOS E ATIVIDADES SOCIAIS, CULTURAIS E ESPORTIVAS</t>
  </si>
  <si>
    <t>Despesas c/Instalações p/Eventos</t>
  </si>
  <si>
    <t>Despesas c/Sonorização e Iluminação</t>
  </si>
  <si>
    <t>Despesas c/Locação de Equipamentos, Veículos e Embarcações</t>
  </si>
  <si>
    <t>Despesas c/ Móveis Utilidades e Decoração</t>
  </si>
  <si>
    <t>Despesas c/Serviços Especializados</t>
  </si>
  <si>
    <t>Despesas c/Alimentação e Bebidas p/Participantes dos Eventos</t>
  </si>
  <si>
    <t>Despesas c/Troféus e Medalhas</t>
  </si>
  <si>
    <t>Despesas c/Promoção e Divulgação dos Eventos</t>
  </si>
  <si>
    <t>Despesas c/Serviços Internos - Voucher</t>
  </si>
  <si>
    <t>Despesas c/Ajuda de Custo para Atletas</t>
  </si>
  <si>
    <t>Despesas c/Transporte de Embarcações</t>
  </si>
  <si>
    <t>Despesas c/Inscrições em Competições</t>
  </si>
  <si>
    <t>Despesas c/Materiais Esportivos e Técnicos</t>
  </si>
  <si>
    <t>Despesas c/Materiais Esportivos - Reembolsáveis</t>
  </si>
  <si>
    <t>Despesas c/Práticas Esportivas e Outros Eventos Oferecidos por Terceiros</t>
  </si>
  <si>
    <t>Despesas c/Uniformes p/Atletas</t>
  </si>
  <si>
    <t>Despesas c/Conservação Equipamentos, Veículos e Embarcações</t>
  </si>
  <si>
    <t>DESPESAS C/PESSOAL</t>
  </si>
  <si>
    <t>DESPESAS C/PROVENTOS</t>
  </si>
  <si>
    <t>Despesas c/Salários</t>
  </si>
  <si>
    <t>Despesas c/Férias</t>
  </si>
  <si>
    <t>Despesas c/13º salário</t>
  </si>
  <si>
    <t>Despesas c/Bolsa Estágio</t>
  </si>
  <si>
    <t>Despesas c/Horas Extras</t>
  </si>
  <si>
    <t>Despesa c/Menores Aprendizes</t>
  </si>
  <si>
    <t>(-) Despesas c/Salários</t>
  </si>
  <si>
    <t>DESPESAS C/ENCARGOS</t>
  </si>
  <si>
    <t>Despesas c/INSS</t>
  </si>
  <si>
    <t>Despesas c/FGTS</t>
  </si>
  <si>
    <t>Despesas c/PIS</t>
  </si>
  <si>
    <t>DESPESAS C/BENEFÍCIOS</t>
  </si>
  <si>
    <t>Despesa c/Café da Manhã</t>
  </si>
  <si>
    <t>DESPESAS C/INDENIZAÇÕES</t>
  </si>
  <si>
    <t>Despesas c/Indenizações Trabalhistas (Rescisões)</t>
  </si>
  <si>
    <t>Despesas c/FGTS - Multa Rescisória</t>
  </si>
  <si>
    <t>DESPESAS C/PROVISÕES TRABALHISTAS</t>
  </si>
  <si>
    <t>Despesas c/INSS s/Provisões Trabalhistas</t>
  </si>
  <si>
    <t>Despesas c/FGTS s/Provisões Trabalhistas</t>
  </si>
  <si>
    <t>Despesas c/PIS s/Provisões Trabalhistas</t>
  </si>
  <si>
    <t>OUTRAS DESPESAS C/PESSOAL</t>
  </si>
  <si>
    <t>Despesas c/Exame Ocupacional e Atestados Medicos</t>
  </si>
  <si>
    <t>Despesas c/Capacitação e Treinamento</t>
  </si>
  <si>
    <t>Despesas c/Uniformes</t>
  </si>
  <si>
    <t>Voucher Pessoal Reembolsavel</t>
  </si>
  <si>
    <t>Despesas Equipamentos de Segurança</t>
  </si>
  <si>
    <t>Despesas c/outros Materiais e Serviços</t>
  </si>
  <si>
    <t>DESPESAS C/ADMINISTRAÇÃO</t>
  </si>
  <si>
    <t>DESPESAS GERAIS C/ADMINISTRAÇÃO</t>
  </si>
  <si>
    <t>Despesas c/Material de Expediente</t>
  </si>
  <si>
    <t>Despesas c/Material de Limpeza</t>
  </si>
  <si>
    <t>Despesas c/Material Didático-Educacional</t>
  </si>
  <si>
    <t>Despesas c/Material Hospitalar e Medicamentos</t>
  </si>
  <si>
    <t>Despesas c/Material e Equipamentos de Informática</t>
  </si>
  <si>
    <t>Despesas c/Copa e Café</t>
  </si>
  <si>
    <t>Despesas c/Lanches e Refeições</t>
  </si>
  <si>
    <t>Despesas c/Representações</t>
  </si>
  <si>
    <t>Despesas c/Cama, Mesa e Banho</t>
  </si>
  <si>
    <t>Despesas c/Serviços de Informática</t>
  </si>
  <si>
    <t>Despesas c/Assinatura de TV a Cabo</t>
  </si>
  <si>
    <t>Despesas c/Editais e Avisos</t>
  </si>
  <si>
    <t>Despesas c/Outros Serviços Administrativos</t>
  </si>
  <si>
    <t>DESPESAS C/PROMOÇÃO, DIVULGAÇÃO E COMUNICAÇÃO GERAL</t>
  </si>
  <si>
    <t>Despesas c/Assessoria de Imprensa</t>
  </si>
  <si>
    <t>Despesas c/Divulgação Publicitária</t>
  </si>
  <si>
    <t>Despesas c/Publicações</t>
  </si>
  <si>
    <t>Despesas c/Divulgação Social e Institucional</t>
  </si>
  <si>
    <t>Despesas c/Energia Elétrica (Concessionária)</t>
  </si>
  <si>
    <t>Despesas c/Água e Esgoto</t>
  </si>
  <si>
    <t>Despesas c/Combustível p/Geradores</t>
  </si>
  <si>
    <t>DESPESAS C/TELECOMUNICAÇÕES, INTERNET E ARMAZENAMENTO DE DADOS</t>
  </si>
  <si>
    <t>Despesas c/Telefonia</t>
  </si>
  <si>
    <t>Despesas c/Internet</t>
  </si>
  <si>
    <t>DESPESAS C/TRANSPORTES</t>
  </si>
  <si>
    <t>Despesas c/Combustíveis e Lubrificantes</t>
  </si>
  <si>
    <t>Despesas c/Conservação e Manutenção de Veículos</t>
  </si>
  <si>
    <t>Despesas c/Seguro de Veículos</t>
  </si>
  <si>
    <t>Despesas c/Fretes e Carretos</t>
  </si>
  <si>
    <t>Despesas c/Locação de Veículos</t>
  </si>
  <si>
    <t>Despesas c/Taxi e Congêneres</t>
  </si>
  <si>
    <t>Despesas c/Depreciações e Amortizações</t>
  </si>
  <si>
    <t>Despesas c/Perdas</t>
  </si>
  <si>
    <t>DESPESAS C/SERVIÇOS GERAIS</t>
  </si>
  <si>
    <t>DESPESAS C/SERVIÇOS DE TERCEIROS</t>
  </si>
  <si>
    <t>Despesas c/Serviços de Consultoria e Assessoria</t>
  </si>
  <si>
    <t>Despesas c/Serviços de Locação de Máquinas e Equipamentos</t>
  </si>
  <si>
    <t>Despesas c/Serviços de Cursos e Treinamentos (exceto pessoal)</t>
  </si>
  <si>
    <t>Despesas c/Serviços de Manobristas</t>
  </si>
  <si>
    <t>Despesas c/Serviços de Transporte de Valores</t>
  </si>
  <si>
    <t>Despesas c/Serviços de Segurança, Vigilância e Monitoramento</t>
  </si>
  <si>
    <t>Despesas c/outros Serviços Técnicos</t>
  </si>
  <si>
    <t>DESPESAS C/OPERAÇÃO, CONSERVAÇÃO, MANUTENÇÃO E REFORMAS</t>
  </si>
  <si>
    <t>DESPESAS C/OPERAÇÃO, CONSERVAÇÃO E MANUTENÇÃO DO CAMPUS</t>
  </si>
  <si>
    <t>Despesas c/Materiais e Serviços p/Operação e Conservação do Campus</t>
  </si>
  <si>
    <t>Despesas c/Materiais e Serviços p/Manutenção do Campus</t>
  </si>
  <si>
    <t>DESPESAS C/REFORMAS DE ANOS ANTERIORES</t>
  </si>
  <si>
    <t>Despesas c/Elaboração de Projetos e Orçamentos p/Reformas de Anos Anteriores</t>
  </si>
  <si>
    <t>Despesas c/Reformas de Instalações de Anos Anteriores</t>
  </si>
  <si>
    <t>Despesas c/Reformas de Edificações, Vias e Acessos de Anos Anteriores</t>
  </si>
  <si>
    <t>DESPESAS C/REFORMAS DO ANO CORRENTE</t>
  </si>
  <si>
    <t>Despesas c/Elaboração de Projetos e Orçamentos p/Reformas do Ano Corrente</t>
  </si>
  <si>
    <t>Despesas c/Reformas de Instalações do Ano Corrente</t>
  </si>
  <si>
    <t>Despesas c/Reformas de Edificações, Vias e Acessos do Ano Corrente</t>
  </si>
  <si>
    <t>Despesas c/Reformas de Máquinas, Equipamentos e Ferramentas do Ano Corrente</t>
  </si>
  <si>
    <t>DESPESAS C/VIAGENS</t>
  </si>
  <si>
    <t>Despesas c/Passagens</t>
  </si>
  <si>
    <t>Despesas c/Hospedagens</t>
  </si>
  <si>
    <t>Despesas c/Diarias e Ajuda de Custo p/Viagens</t>
  </si>
  <si>
    <t>DESPESAS C/IMPOSTOS, TAXAS, CONTRIBUIÇÕES, CUSTAS E EMOLUMENTOS</t>
  </si>
  <si>
    <t>Despesas c/Imposto s/Faturamento</t>
  </si>
  <si>
    <t>Despesas c/IPVA e outras taxas c/veículos</t>
  </si>
  <si>
    <t>Despesas c/Taxas do IBAMA, IBRAM e outros</t>
  </si>
  <si>
    <t>Despesas c/Contribuições p/CBC, FENACLUBES e SINLAZER</t>
  </si>
  <si>
    <t>Despesas c/Contribuições p/Federações Esportivas</t>
  </si>
  <si>
    <t>Despesas c/Outros Impostos, Taxas e Contribuições</t>
  </si>
  <si>
    <t>DESPESAS FINANCEIRAS</t>
  </si>
  <si>
    <t>DESPESAS C/INSTITUIÇÕES FINANCEIRAS</t>
  </si>
  <si>
    <t>Despesas c/Juros e Encargos Bancários</t>
  </si>
  <si>
    <t>Despesas c/IR s/Aplicação Financeira</t>
  </si>
  <si>
    <t>Despesas Quebra de Caixa</t>
  </si>
  <si>
    <t>Despesas c/Comissões</t>
  </si>
  <si>
    <t>Despesas c/Comissões s/Cartões Débito/Crédito</t>
  </si>
  <si>
    <t>DESPESAS JUDICIAIS</t>
  </si>
  <si>
    <t>DESPESAS C/INDENIZAÇÕE, HONORÁRIOS E CUSTAS</t>
  </si>
  <si>
    <t>Despesas c/Indenizações Cíveis</t>
  </si>
  <si>
    <t>Despesas c/Indenizações Trabalhistas</t>
  </si>
  <si>
    <t>Despesas c/Honorários</t>
  </si>
  <si>
    <t>Despesas c/Custas</t>
  </si>
  <si>
    <t>RESERVA DE CONTINGÊNCIA</t>
  </si>
  <si>
    <t>RESERVA P/SUPORTE DE CUSTEIOS NÃO PREVISTOS</t>
  </si>
  <si>
    <t>Despesas c/Suporte de Custeios não Previstos</t>
  </si>
  <si>
    <t>Transitoria de INSS Retido PF</t>
  </si>
  <si>
    <t>Impostos a recuperar</t>
  </si>
  <si>
    <t>Receitas de Eventos e Atividades Sociais,Culturais e Esportivas</t>
  </si>
  <si>
    <t>Receitas com Materiais e Serviços</t>
  </si>
  <si>
    <t>Receitas com Patrocinios</t>
  </si>
  <si>
    <t>Receitas com Locações e Concessões de Espaços, Instalações</t>
  </si>
  <si>
    <t>Despesas - Desporto - Eventos e Atividades Sociais Culturais e Esportivas</t>
  </si>
  <si>
    <t>Despesas c/ Promoção, Divulgação e Comunicação Geral</t>
  </si>
  <si>
    <t>Despesas com Infraestrutura</t>
  </si>
  <si>
    <t>Despesas com Telecomunicações, Internet e Armazenamento Dados</t>
  </si>
  <si>
    <t>Despeas com Transporte</t>
  </si>
  <si>
    <t>Despeas com Operação, Conservação, Manutenção e Reforas</t>
  </si>
  <si>
    <t>Receitas Contabeis a ser realizar em 2020</t>
  </si>
  <si>
    <t>Créditos Diversos</t>
  </si>
  <si>
    <t>Reversão provisão Liquidação Duvidosa por recebimentos</t>
  </si>
  <si>
    <t>Provisão Contabeis Civéis</t>
  </si>
  <si>
    <t>Baixa de Provisão Judicial</t>
  </si>
  <si>
    <t>Cauçoes Concessionarios</t>
  </si>
  <si>
    <t>Baixa Titulos Concessionarios</t>
  </si>
  <si>
    <t>Despesas Comissões</t>
  </si>
  <si>
    <t>Receita de Combustivel Geradores</t>
  </si>
  <si>
    <t>Despesas Antecipadas (Seguros)</t>
  </si>
  <si>
    <t>Despesas 2018 desembolsados 2019</t>
  </si>
  <si>
    <t>Despesas com perdas</t>
  </si>
  <si>
    <t>1</t>
  </si>
  <si>
    <t>1.01</t>
  </si>
  <si>
    <t>1.01.01</t>
  </si>
  <si>
    <t>1.01.01.01</t>
  </si>
  <si>
    <t>1.01.01.01.01</t>
  </si>
  <si>
    <t>1.01.01.01.01.0001</t>
  </si>
  <si>
    <t>1.01.01.01.01.0002</t>
  </si>
  <si>
    <t>1.01.01.01.01.0004</t>
  </si>
  <si>
    <t>1.01.01.01.02</t>
  </si>
  <si>
    <t>1.01.01.01.02.0001</t>
  </si>
  <si>
    <t>1.01.01.02</t>
  </si>
  <si>
    <t>1.01.01.02.01</t>
  </si>
  <si>
    <t>1.01.01.02.01.0002</t>
  </si>
  <si>
    <t>1.01.01.02.01.0003</t>
  </si>
  <si>
    <t>1.01.01.02.01.0004</t>
  </si>
  <si>
    <t>1.01.01.02.02</t>
  </si>
  <si>
    <t>1.01.01.02.02.0001</t>
  </si>
  <si>
    <t>1.01.01.02.04</t>
  </si>
  <si>
    <t>1.01.01.02.04.0001</t>
  </si>
  <si>
    <t>1.01.01.02.04.0002</t>
  </si>
  <si>
    <t>1.01.01.02.05</t>
  </si>
  <si>
    <t>1.01.01.02.05.0001</t>
  </si>
  <si>
    <t>1.01.01.02.05.0002</t>
  </si>
  <si>
    <t>1.01.01.03</t>
  </si>
  <si>
    <t>1.01.01.03.01</t>
  </si>
  <si>
    <t>1.01.01.03.01.0001</t>
  </si>
  <si>
    <t>1.01.01.03.01.0004</t>
  </si>
  <si>
    <t>1.01.01.03.02</t>
  </si>
  <si>
    <t>1.01.01.03.02.0001</t>
  </si>
  <si>
    <t>1.01.01.03.02.0002</t>
  </si>
  <si>
    <t>1.01.01.03.04</t>
  </si>
  <si>
    <t>1.01.01.03.04.0001</t>
  </si>
  <si>
    <t>1.01.01.03.05</t>
  </si>
  <si>
    <t>1.01.01.03.05.0001</t>
  </si>
  <si>
    <t>1.01.01.03.05.0002</t>
  </si>
  <si>
    <t>1.01.01.03.05.0005</t>
  </si>
  <si>
    <t>1.01.02</t>
  </si>
  <si>
    <t>1.01.02.01</t>
  </si>
  <si>
    <t>1.01.02.01.01</t>
  </si>
  <si>
    <t>1.01.02.01.01.0001</t>
  </si>
  <si>
    <t>1.01.02.01.01.0002</t>
  </si>
  <si>
    <t>1.01.02.01.01.0004</t>
  </si>
  <si>
    <t>1.01.02.01.01.0005</t>
  </si>
  <si>
    <t>1.01.02.01.01.0006</t>
  </si>
  <si>
    <t>1.01.02.02</t>
  </si>
  <si>
    <t>1.01.02.02.01</t>
  </si>
  <si>
    <t>1.01.02.02.01.0001</t>
  </si>
  <si>
    <t>1.01.02.02.01.0002</t>
  </si>
  <si>
    <t>1.01.02.02.02</t>
  </si>
  <si>
    <t>1.01.02.02.02.0001</t>
  </si>
  <si>
    <t>1.01.02.02.02.0002</t>
  </si>
  <si>
    <t>1.01.02.02.90</t>
  </si>
  <si>
    <t>1.01.02.02.90.0007</t>
  </si>
  <si>
    <t>1.01.02.02.90.0009</t>
  </si>
  <si>
    <t>1.01.03</t>
  </si>
  <si>
    <t>1.01.03.01</t>
  </si>
  <si>
    <t>1.01.03.01.01</t>
  </si>
  <si>
    <t>1.01.03.01.01.0001</t>
  </si>
  <si>
    <t>1.01.03.01.01.0002</t>
  </si>
  <si>
    <t>1.01.03.01.01.0004</t>
  </si>
  <si>
    <t>1.01.03.01.01.0005</t>
  </si>
  <si>
    <t>1.01.03.01.01.0006</t>
  </si>
  <si>
    <t>1.01.03.01.01.0007</t>
  </si>
  <si>
    <t>1.01.03.01.02</t>
  </si>
  <si>
    <t>1.01.03.01.02.0001</t>
  </si>
  <si>
    <t>1.01.04</t>
  </si>
  <si>
    <t>1.01.04.01</t>
  </si>
  <si>
    <t>1.01.04.01.01</t>
  </si>
  <si>
    <t>1.01.04.01.01.0003</t>
  </si>
  <si>
    <t>1.01.05</t>
  </si>
  <si>
    <t>1.01.05.01</t>
  </si>
  <si>
    <t>1.01.05.01.01</t>
  </si>
  <si>
    <t>1.01.05.01.01.0002</t>
  </si>
  <si>
    <t>1.01.05.01.02</t>
  </si>
  <si>
    <t>1.01.05.01.02.0002</t>
  </si>
  <si>
    <t>1.01.05.01.02.0003</t>
  </si>
  <si>
    <t>1.01.06</t>
  </si>
  <si>
    <t>1.01.06.03</t>
  </si>
  <si>
    <t>1.01.06.03.01</t>
  </si>
  <si>
    <t>1.01.06.03.01.0002</t>
  </si>
  <si>
    <t>1.01.06.04</t>
  </si>
  <si>
    <t>1.01.06.04.01</t>
  </si>
  <si>
    <t>1.01.06.04.01.0001</t>
  </si>
  <si>
    <t>1.01.06.04.02</t>
  </si>
  <si>
    <t>1.01.06.04.02.0001</t>
  </si>
  <si>
    <t>1.02</t>
  </si>
  <si>
    <t>1.02.01</t>
  </si>
  <si>
    <t>1.02.01.01</t>
  </si>
  <si>
    <t>1.02.01.01.01</t>
  </si>
  <si>
    <t>1.02.01.01.01.0001</t>
  </si>
  <si>
    <t>1.02.01.01.01.0002</t>
  </si>
  <si>
    <t>1.02.03</t>
  </si>
  <si>
    <t>1.02.03.01</t>
  </si>
  <si>
    <t>1.02.03.01.01</t>
  </si>
  <si>
    <t>1.02.03.01.01.0001</t>
  </si>
  <si>
    <t>1.02.03.01.01.0002</t>
  </si>
  <si>
    <t>1.02.03.01.01.0004</t>
  </si>
  <si>
    <t>1.02.03.01.02</t>
  </si>
  <si>
    <t>1.02.03.01.02.0001</t>
  </si>
  <si>
    <t>1.02.03.01.02.0002</t>
  </si>
  <si>
    <t>1.02.03.01.02.0003</t>
  </si>
  <si>
    <t>1.02.03.01.03</t>
  </si>
  <si>
    <t>1.02.03.01.03.0001</t>
  </si>
  <si>
    <t>1.02.03.01.03.0002</t>
  </si>
  <si>
    <t>1.02.03.01.03.0003</t>
  </si>
  <si>
    <t>1.02.03.01.03.0004</t>
  </si>
  <si>
    <t>1.02.03.01.03.0005</t>
  </si>
  <si>
    <t>1.02.03.01.03.0006</t>
  </si>
  <si>
    <t>1.02.03.01.04</t>
  </si>
  <si>
    <t>1.02.03.01.04.0001</t>
  </si>
  <si>
    <t>1.02.03.01.04.0002</t>
  </si>
  <si>
    <t>1.02.03.01.04.0003</t>
  </si>
  <si>
    <t>1.02.03.01.04.0004</t>
  </si>
  <si>
    <t>1.02.03.01.04.0006</t>
  </si>
  <si>
    <t>1.02.03.01.05</t>
  </si>
  <si>
    <t>1.02.03.01.05.0001</t>
  </si>
  <si>
    <t>1.02.03.01.05.0002</t>
  </si>
  <si>
    <t>1.02.03.01.05.0003</t>
  </si>
  <si>
    <t>1.02.03.01.05.0004</t>
  </si>
  <si>
    <t>1.02.03.01.05.0005</t>
  </si>
  <si>
    <t>1.02.03.01.05.0006</t>
  </si>
  <si>
    <t>1.02.04</t>
  </si>
  <si>
    <t>1.02.04.01</t>
  </si>
  <si>
    <t>1.02.04.01.01</t>
  </si>
  <si>
    <t>1.02.04.01.01.0001</t>
  </si>
  <si>
    <t>1.02.04.01.01.0004</t>
  </si>
  <si>
    <t>2</t>
  </si>
  <si>
    <t>2.01</t>
  </si>
  <si>
    <t>2.01.01</t>
  </si>
  <si>
    <t>2.01.01.01</t>
  </si>
  <si>
    <t>2.01.01.01.01</t>
  </si>
  <si>
    <t>2.01.01.01.01.0001</t>
  </si>
  <si>
    <t>2.01.01.01.02</t>
  </si>
  <si>
    <t>2.01.01.01.02.0003</t>
  </si>
  <si>
    <t>2.01.01.01.03</t>
  </si>
  <si>
    <t>2.01.01.01.03.0001</t>
  </si>
  <si>
    <t>2.01.01.01.03.0002</t>
  </si>
  <si>
    <t>2.01.01.01.03.0004</t>
  </si>
  <si>
    <t>2.01.01.03</t>
  </si>
  <si>
    <t>2.01.01.03.01</t>
  </si>
  <si>
    <t>2.01.01.03.01.0001</t>
  </si>
  <si>
    <t>2.01.01.03.01.0002</t>
  </si>
  <si>
    <t>2.01.01.03.01.0003</t>
  </si>
  <si>
    <t>2.01.01.03.01.0004</t>
  </si>
  <si>
    <t>2.01.01.03.01.0005</t>
  </si>
  <si>
    <t>2.01.01.03.01.0006</t>
  </si>
  <si>
    <t>2.01.01.03.01.0007</t>
  </si>
  <si>
    <t>2.01.01.03.01.0008</t>
  </si>
  <si>
    <t>2.01.01.03.02</t>
  </si>
  <si>
    <t>2.01.01.03.02.0001</t>
  </si>
  <si>
    <t>2.01.01.03.02.0002</t>
  </si>
  <si>
    <t>2.01.01.03.02.0004</t>
  </si>
  <si>
    <t>2.01.01.03.02.0005</t>
  </si>
  <si>
    <t>2.01.01.03.02.0006</t>
  </si>
  <si>
    <t>2.01.01.03.03</t>
  </si>
  <si>
    <t>2.01.01.03.03.0001</t>
  </si>
  <si>
    <t>2.01.01.03.03.0002</t>
  </si>
  <si>
    <t>2.01.01.03.03.0003</t>
  </si>
  <si>
    <t>2.01.01.03.03.0004</t>
  </si>
  <si>
    <t>2.01.01.03.03.0005</t>
  </si>
  <si>
    <t>2.01.01.03.03.0006</t>
  </si>
  <si>
    <t>2.01.01.03.03.0007</t>
  </si>
  <si>
    <t>2.01.01.03.03.0008</t>
  </si>
  <si>
    <t>2.01.01.03.03.0009</t>
  </si>
  <si>
    <t>2.01.01.04</t>
  </si>
  <si>
    <t>2.01.01.04.01</t>
  </si>
  <si>
    <t>2.01.01.04.01.0001</t>
  </si>
  <si>
    <t>2.01.01.04.01.0002</t>
  </si>
  <si>
    <t>2.01.01.04.01.0003</t>
  </si>
  <si>
    <t>2.01.01.04.01.0004</t>
  </si>
  <si>
    <t>2.01.01.04.01.0005</t>
  </si>
  <si>
    <t>2.01.01.04.01.0008</t>
  </si>
  <si>
    <t>2.01.01.04.02</t>
  </si>
  <si>
    <t>2.01.01.04.02.0001</t>
  </si>
  <si>
    <t>2.01.01.04.02.0002</t>
  </si>
  <si>
    <t>2.01.01.04.02.0003</t>
  </si>
  <si>
    <t>2.01.01.04.02.0004</t>
  </si>
  <si>
    <t>2.01.01.05</t>
  </si>
  <si>
    <t>2.01.01.05.01</t>
  </si>
  <si>
    <t>2.01.01.05.01.0002</t>
  </si>
  <si>
    <t>2.01.01.05.02</t>
  </si>
  <si>
    <t>2.01.01.05.02.0001</t>
  </si>
  <si>
    <t>2.01.01.05.02.0003</t>
  </si>
  <si>
    <t>2.01.01.05.02.0004</t>
  </si>
  <si>
    <t>2.01.01.05.02.0005</t>
  </si>
  <si>
    <t>2.01.01.05.02.0006</t>
  </si>
  <si>
    <t>2.01.01.05.03</t>
  </si>
  <si>
    <t>2.01.01.05.03.0002</t>
  </si>
  <si>
    <t>2.01.01.05.03.0003</t>
  </si>
  <si>
    <t>2.01.01.05.03.0004</t>
  </si>
  <si>
    <t>2.01.01.08</t>
  </si>
  <si>
    <t>2.01.01.08.01</t>
  </si>
  <si>
    <t>2.01.01.08.01.0001</t>
  </si>
  <si>
    <t>2.02</t>
  </si>
  <si>
    <t>2.02.01</t>
  </si>
  <si>
    <t>2.02.01.02</t>
  </si>
  <si>
    <t>2.02.01.02.01</t>
  </si>
  <si>
    <t>2.02.01.02.01.0001</t>
  </si>
  <si>
    <t>2.03</t>
  </si>
  <si>
    <t>2.03.01</t>
  </si>
  <si>
    <t>2.03.01.01</t>
  </si>
  <si>
    <t>2.03.01.01.01</t>
  </si>
  <si>
    <t>2.03.01.01.01.0001</t>
  </si>
  <si>
    <t>2.03.01.01.01.0002</t>
  </si>
  <si>
    <t>2.03.01.01.01.0003</t>
  </si>
  <si>
    <t>2.03.01.01.01.0004</t>
  </si>
  <si>
    <t>2.03.01.01.01.0005</t>
  </si>
  <si>
    <t>2.03.01.01.01.0006</t>
  </si>
  <si>
    <t>2.03.01.01.01.0007</t>
  </si>
  <si>
    <t>2.03.02</t>
  </si>
  <si>
    <t>2.03.02.01</t>
  </si>
  <si>
    <t>2.03.02.01.01</t>
  </si>
  <si>
    <t>2.03.02.01.01.0001</t>
  </si>
  <si>
    <t>2.03.02.01.02</t>
  </si>
  <si>
    <t>2.03.02.01.02.0001</t>
  </si>
  <si>
    <t>2.03.02.01.02.0002</t>
  </si>
  <si>
    <t>3</t>
  </si>
  <si>
    <t>3.01</t>
  </si>
  <si>
    <t>3.01.01</t>
  </si>
  <si>
    <t>3.01.01.01</t>
  </si>
  <si>
    <t>3.01.01.01.01</t>
  </si>
  <si>
    <t>3.01.01.01.01.0001</t>
  </si>
  <si>
    <t>3.01.01.01.01.0002</t>
  </si>
  <si>
    <t>3.01.01.01.01.0003</t>
  </si>
  <si>
    <t>3.01.01.01.01.0004</t>
  </si>
  <si>
    <t>3.01.01.01.01.0005</t>
  </si>
  <si>
    <t>3.01.01.01.02</t>
  </si>
  <si>
    <t>3.01.01.01.02.0001</t>
  </si>
  <si>
    <t>3.01.01.01.02.0003</t>
  </si>
  <si>
    <t>3.01.01.01.02.0004</t>
  </si>
  <si>
    <t>3.01.01.01.02.0005</t>
  </si>
  <si>
    <t>3.01.01.01.02.0006</t>
  </si>
  <si>
    <t>3.01.01.01.03</t>
  </si>
  <si>
    <t>3.01.01.01.03.0001</t>
  </si>
  <si>
    <t>3.01.01.01.04</t>
  </si>
  <si>
    <t>3.01.01.01.04.0001</t>
  </si>
  <si>
    <t>3.01.01.01.05</t>
  </si>
  <si>
    <t>3.01.01.01.05.0001</t>
  </si>
  <si>
    <t>3.01.01.01.05.0002</t>
  </si>
  <si>
    <t>3.01.01.01.06</t>
  </si>
  <si>
    <t>3.01.01.01.06.0001</t>
  </si>
  <si>
    <t>3.01.01.01.06.0002</t>
  </si>
  <si>
    <t>3.01.01.01.06.0003</t>
  </si>
  <si>
    <t>3.01.01.01.06.0004</t>
  </si>
  <si>
    <t>3.01.01.01.06.0005</t>
  </si>
  <si>
    <t>3.01.01.01.06.0006</t>
  </si>
  <si>
    <t>3.01.01.01.06.0007</t>
  </si>
  <si>
    <t>3.01.01.02</t>
  </si>
  <si>
    <t>3.01.01.02.01</t>
  </si>
  <si>
    <t>3.01.01.02.01.0001</t>
  </si>
  <si>
    <t>3.01.01.02.01.0002</t>
  </si>
  <si>
    <t>3.01.01.02.01.0003</t>
  </si>
  <si>
    <t>3.01.01.02.01.0004</t>
  </si>
  <si>
    <t>3.01.01.02.01.0005</t>
  </si>
  <si>
    <t>3.01.01.02.01.0099</t>
  </si>
  <si>
    <t>3.01.01.02.02</t>
  </si>
  <si>
    <t>3.01.01.02.02.0001</t>
  </si>
  <si>
    <t>3.01.01.02.02.0002</t>
  </si>
  <si>
    <t>3.01.01.02.03</t>
  </si>
  <si>
    <t>3.01.01.02.03.0001</t>
  </si>
  <si>
    <t>3.01.01.02.03.0002</t>
  </si>
  <si>
    <t>3.01.01.02.03.0099</t>
  </si>
  <si>
    <t>3.01.01.02.04</t>
  </si>
  <si>
    <t>3.01.01.02.04.0001</t>
  </si>
  <si>
    <t>3.01.01.02.04.0003</t>
  </si>
  <si>
    <t>3.01.01.02.04.0004</t>
  </si>
  <si>
    <t>3.01.01.02.04.0006</t>
  </si>
  <si>
    <t>3.01.01.02.04.0007</t>
  </si>
  <si>
    <t>3.01.01.02.04.0009</t>
  </si>
  <si>
    <t>3.01.01.02.05</t>
  </si>
  <si>
    <t>3.01.01.02.05.0001</t>
  </si>
  <si>
    <t>3.01.01.02.05.0002</t>
  </si>
  <si>
    <t>3.01.01.02.05.0003</t>
  </si>
  <si>
    <t>3.01.01.02.05.0099</t>
  </si>
  <si>
    <t>3.01.01.03</t>
  </si>
  <si>
    <t>3.01.01.03.01</t>
  </si>
  <si>
    <t>3.01.01.03.01.0002</t>
  </si>
  <si>
    <t>3.01.01.04</t>
  </si>
  <si>
    <t>3.01.01.04.01</t>
  </si>
  <si>
    <t>3.01.01.04.01.0001</t>
  </si>
  <si>
    <t>3.01.01.05</t>
  </si>
  <si>
    <t>3.01.01.05.01</t>
  </si>
  <si>
    <t>3.01.01.05.01.0001</t>
  </si>
  <si>
    <t>3.01.01.05.01.0002</t>
  </si>
  <si>
    <t>3.01.01.05.01.0003</t>
  </si>
  <si>
    <t>3.01.01.90</t>
  </si>
  <si>
    <t>3.01.01.90.01</t>
  </si>
  <si>
    <t>3.01.01.90.01.0001</t>
  </si>
  <si>
    <t>3.01.01.90.01.0003</t>
  </si>
  <si>
    <t>3.01.01.90.01.0099</t>
  </si>
  <si>
    <t>3.01.02</t>
  </si>
  <si>
    <t>3.01.02.01</t>
  </si>
  <si>
    <t>3.01.02.01.01</t>
  </si>
  <si>
    <t>3.01.02.01.01.0001</t>
  </si>
  <si>
    <t>3.01.02.01.01.0002</t>
  </si>
  <si>
    <t>3.01.02.01.01.0003</t>
  </si>
  <si>
    <t>3.01.02.02</t>
  </si>
  <si>
    <t>3.01.02.02.01</t>
  </si>
  <si>
    <t>3.01.02.02.01.0001</t>
  </si>
  <si>
    <t>3.01.02.02.01.0002</t>
  </si>
  <si>
    <t>3.01.02.03</t>
  </si>
  <si>
    <t>3.01.02.03.01</t>
  </si>
  <si>
    <t>3.01.02.03.01.0001</t>
  </si>
  <si>
    <t>3.01.02.03.01.0003</t>
  </si>
  <si>
    <t>3.01.02.99</t>
  </si>
  <si>
    <t>3.01.02.99.99</t>
  </si>
  <si>
    <t>3.01.02.99.99.0099</t>
  </si>
  <si>
    <t>3.02</t>
  </si>
  <si>
    <t>3.02.01</t>
  </si>
  <si>
    <t>3.02.01.01</t>
  </si>
  <si>
    <t>3.02.01.01.01</t>
  </si>
  <si>
    <t>3.02.01.01.01.0001</t>
  </si>
  <si>
    <t>3.02.01.01.01.0002</t>
  </si>
  <si>
    <t>3.02.01.01.01.0003</t>
  </si>
  <si>
    <t>3.02.01.01.01.0004</t>
  </si>
  <si>
    <t>3.02.01.01.01.0005</t>
  </si>
  <si>
    <t>3.02.01.01.01.0006</t>
  </si>
  <si>
    <t>3.02.01.01.01.0007</t>
  </si>
  <si>
    <t>3.02.01.01.01.0008</t>
  </si>
  <si>
    <t>3.02.01.01.01.0009</t>
  </si>
  <si>
    <t>3.02.01.01.01.0010</t>
  </si>
  <si>
    <t>3.02.01.01.01.0011</t>
  </si>
  <si>
    <t>3.02.01.01.01.0012</t>
  </si>
  <si>
    <t>3.02.01.01.01.0013</t>
  </si>
  <si>
    <t>3.02.01.01.01.0014</t>
  </si>
  <si>
    <t>3.02.01.01.01.0015</t>
  </si>
  <si>
    <t>3.02.01.01.01.0017</t>
  </si>
  <si>
    <t>3.02.01.01.01.0018</t>
  </si>
  <si>
    <t>3.02.01.01.01.0019</t>
  </si>
  <si>
    <t>3.02.01.02</t>
  </si>
  <si>
    <t>3.02.01.02.01</t>
  </si>
  <si>
    <t>3.02.01.02.01.0001</t>
  </si>
  <si>
    <t>3.02.01.02.01.0002</t>
  </si>
  <si>
    <t>3.02.01.02.01.0003</t>
  </si>
  <si>
    <t>3.02.01.02.01.0004</t>
  </si>
  <si>
    <t>3.02.01.02.01.0006</t>
  </si>
  <si>
    <t>3.02.01.02.01.0009</t>
  </si>
  <si>
    <t>3.02.01.02.01.0099</t>
  </si>
  <si>
    <t>3.02.01.02.02</t>
  </si>
  <si>
    <t>3.02.01.02.02.0001</t>
  </si>
  <si>
    <t>3.02.01.02.02.0002</t>
  </si>
  <si>
    <t>3.02.01.02.02.0003</t>
  </si>
  <si>
    <t>3.02.01.02.03</t>
  </si>
  <si>
    <t>3.02.01.02.03.0001</t>
  </si>
  <si>
    <t>3.02.01.02.03.0002</t>
  </si>
  <si>
    <t>3.02.01.02.03.0004</t>
  </si>
  <si>
    <t>3.02.01.02.03.0011</t>
  </si>
  <si>
    <t>3.02.01.02.04</t>
  </si>
  <si>
    <t>3.02.01.02.04.0001</t>
  </si>
  <si>
    <t>3.02.01.02.04.0002</t>
  </si>
  <si>
    <t>3.02.01.02.05</t>
  </si>
  <si>
    <t>3.02.01.02.05.0001</t>
  </si>
  <si>
    <t>3.02.01.02.05.0002</t>
  </si>
  <si>
    <t>3.02.01.02.05.0003</t>
  </si>
  <si>
    <t>3.02.01.02.09</t>
  </si>
  <si>
    <t>3.02.01.02.09.0001</t>
  </si>
  <si>
    <t>3.02.01.02.09.0002</t>
  </si>
  <si>
    <t>3.02.01.02.09.0004</t>
  </si>
  <si>
    <t>3.02.01.02.09.0005</t>
  </si>
  <si>
    <t>3.02.01.02.09.0007</t>
  </si>
  <si>
    <t>3.02.01.02.09.0008</t>
  </si>
  <si>
    <t>3.02.01.02.09.0099</t>
  </si>
  <si>
    <t>3.02.01.03</t>
  </si>
  <si>
    <t>3.02.01.03.01</t>
  </si>
  <si>
    <t>3.02.01.03.01.0001</t>
  </si>
  <si>
    <t>3.02.01.03.01.0002</t>
  </si>
  <si>
    <t>3.02.01.03.01.0003</t>
  </si>
  <si>
    <t>3.02.01.03.01.0004</t>
  </si>
  <si>
    <t>3.02.01.03.01.0005</t>
  </si>
  <si>
    <t>3.02.01.03.01.0006</t>
  </si>
  <si>
    <t>3.02.01.03.01.0007</t>
  </si>
  <si>
    <t>3.02.01.03.01.0008</t>
  </si>
  <si>
    <t>3.02.01.03.01.0009</t>
  </si>
  <si>
    <t>3.02.01.03.01.0010</t>
  </si>
  <si>
    <t>3.02.01.03.01.0012</t>
  </si>
  <si>
    <t>3.02.01.03.01.0013</t>
  </si>
  <si>
    <t>3.02.01.03.01.0014</t>
  </si>
  <si>
    <t>3.02.01.03.01.0015</t>
  </si>
  <si>
    <t>3.02.01.03.01.0016</t>
  </si>
  <si>
    <t>3.02.01.03.01.0017</t>
  </si>
  <si>
    <t>3.02.01.03.02</t>
  </si>
  <si>
    <t>3.02.01.03.02.0001</t>
  </si>
  <si>
    <t>3.02.01.03.02.0002</t>
  </si>
  <si>
    <t>3.02.01.03.02.0003</t>
  </si>
  <si>
    <t>3.02.01.03.02.0004</t>
  </si>
  <si>
    <t>3.02.01.03.03</t>
  </si>
  <si>
    <t>3.02.01.03.03.0001</t>
  </si>
  <si>
    <t>3.02.01.03.03.0002</t>
  </si>
  <si>
    <t>3.02.01.03.03.0003</t>
  </si>
  <si>
    <t>3.02.01.03.04</t>
  </si>
  <si>
    <t>3.02.01.03.04.0001</t>
  </si>
  <si>
    <t>3.02.01.03.04.0002</t>
  </si>
  <si>
    <t>3.02.01.03.05</t>
  </si>
  <si>
    <t>3.02.01.03.05.0001</t>
  </si>
  <si>
    <t>3.02.01.03.05.0002</t>
  </si>
  <si>
    <t>3.02.01.03.05.0003</t>
  </si>
  <si>
    <t>3.02.01.03.05.0004</t>
  </si>
  <si>
    <t>3.02.01.03.05.0005</t>
  </si>
  <si>
    <t>3.02.01.03.05.0006</t>
  </si>
  <si>
    <t>3.02.01.03.06</t>
  </si>
  <si>
    <t>3.02.01.03.06.0001</t>
  </si>
  <si>
    <t>3.02.01.03.07</t>
  </si>
  <si>
    <t>3.02.01.03.07.0001</t>
  </si>
  <si>
    <t>3.02.01.04</t>
  </si>
  <si>
    <t>3.02.01.04.01</t>
  </si>
  <si>
    <t>3.02.01.04.01.0001</t>
  </si>
  <si>
    <t>3.02.01.04.01.0002</t>
  </si>
  <si>
    <t>3.02.01.04.01.0003</t>
  </si>
  <si>
    <t>3.02.01.04.01.0004</t>
  </si>
  <si>
    <t>3.02.01.04.01.0005</t>
  </si>
  <si>
    <t>3.02.01.04.01.0006</t>
  </si>
  <si>
    <t>3.02.01.04.01.0007</t>
  </si>
  <si>
    <t>3.02.01.05</t>
  </si>
  <si>
    <t>3.02.01.05.01</t>
  </si>
  <si>
    <t>3.02.01.05.01.0001</t>
  </si>
  <si>
    <t>3.02.01.05.01.0002</t>
  </si>
  <si>
    <t>3.02.01.05.02</t>
  </si>
  <si>
    <t>3.02.01.05.02.0001</t>
  </si>
  <si>
    <t>3.02.01.05.02.0002</t>
  </si>
  <si>
    <t>3.02.01.05.02.0003</t>
  </si>
  <si>
    <t>3.02.01.05.03</t>
  </si>
  <si>
    <t>3.02.01.05.03.0001</t>
  </si>
  <si>
    <t>3.02.01.05.03.0002</t>
  </si>
  <si>
    <t>3.02.01.05.03.0003</t>
  </si>
  <si>
    <t>3.02.01.05.03.0004</t>
  </si>
  <si>
    <t>3.02.01.06</t>
  </si>
  <si>
    <t>3.02.01.06.01</t>
  </si>
  <si>
    <t>3.02.01.06.01.0001</t>
  </si>
  <si>
    <t>3.02.01.06.01.0002</t>
  </si>
  <si>
    <t>3.02.01.06.01.0003</t>
  </si>
  <si>
    <t>3.02.01.07</t>
  </si>
  <si>
    <t>3.02.01.07.01</t>
  </si>
  <si>
    <t>3.02.01.07.01.0001</t>
  </si>
  <si>
    <t>3.02.01.07.01.0003</t>
  </si>
  <si>
    <t>3.02.01.07.01.0004</t>
  </si>
  <si>
    <t>3.02.01.07.01.0006</t>
  </si>
  <si>
    <t>3.02.01.07.01.0007</t>
  </si>
  <si>
    <t>3.02.01.07.01.0009</t>
  </si>
  <si>
    <t>3.02.01.08</t>
  </si>
  <si>
    <t>3.02.01.08.01</t>
  </si>
  <si>
    <t>3.02.01.08.01.0001</t>
  </si>
  <si>
    <t>3.02.01.08.01.0003</t>
  </si>
  <si>
    <t>3.02.01.08.01.0004</t>
  </si>
  <si>
    <t>3.02.01.08.01.0005</t>
  </si>
  <si>
    <t>3.02.01.08.01.0006</t>
  </si>
  <si>
    <t>3.02.01.08.01.0007</t>
  </si>
  <si>
    <t>3.02.01.08.01.0008</t>
  </si>
  <si>
    <t>3.02.01.09</t>
  </si>
  <si>
    <t>3.02.01.09.01</t>
  </si>
  <si>
    <t>3.02.01.09.01.0001</t>
  </si>
  <si>
    <t>3.02.01.09.01.0002</t>
  </si>
  <si>
    <t>3.02.01.09.01.0004</t>
  </si>
  <si>
    <t>3.02.01.09.01.0005</t>
  </si>
  <si>
    <t>3.02.01.10</t>
  </si>
  <si>
    <t>3.02.01.10.01</t>
  </si>
  <si>
    <t>3.02.01.10.01.0001</t>
  </si>
  <si>
    <t>5</t>
  </si>
  <si>
    <t>5.01</t>
  </si>
  <si>
    <t>5.01.01</t>
  </si>
  <si>
    <t>5.01.01.02</t>
  </si>
  <si>
    <t>5.01.02</t>
  </si>
  <si>
    <t>5.01.02.01</t>
  </si>
  <si>
    <t>5.01.02.01.01</t>
  </si>
  <si>
    <t>5.01.02.01.01.0001</t>
  </si>
  <si>
    <t>5.01.02.01.01.0002</t>
  </si>
  <si>
    <t>5.01.02.01.01.0003</t>
  </si>
  <si>
    <t>5.01.02.01.01.0004</t>
  </si>
  <si>
    <t>5.01.02.01.01.0005</t>
  </si>
  <si>
    <t>5.01.02.01.01.0006</t>
  </si>
  <si>
    <t>5.01.02.01.01.0007</t>
  </si>
  <si>
    <t>5.01.03</t>
  </si>
  <si>
    <t>5.01.03.01</t>
  </si>
  <si>
    <t>5.01.03.01.01</t>
  </si>
  <si>
    <t>5.01.03.01.01.0001</t>
  </si>
  <si>
    <t>Patrimônio Social</t>
  </si>
  <si>
    <t xml:space="preserve">Total  </t>
  </si>
  <si>
    <t>Total das exigibilidades</t>
  </si>
  <si>
    <t>Patrimônio Líquido</t>
  </si>
  <si>
    <t xml:space="preserve">Total </t>
  </si>
  <si>
    <t xml:space="preserve">Superávit dos exercícios findos em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</si>
</sst>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#,##0;\(#,##0\)"/>
    <numFmt numFmtId="175" formatCode="_(* #,##0_);\(* #,##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_-* #,##0.0_-;\-* #,##0.0_-;_-* &quot;-&quot;??_-;_-@_-"/>
    <numFmt numFmtId="181" formatCode="_(&quot;R$&quot;* #,##0_);\(&quot;R$&quot;* #,##0\);_(&quot;R$&quot;* &quot;-&quot;_);_(@_)"/>
    <numFmt numFmtId="182" formatCode="_(* #,##0_);\(* #,##0\);_(* &quot;-&quot;_);_(@_)"/>
    <numFmt numFmtId="183" formatCode="_(&quot;R$&quot;* #,##0.00_);\(&quot;R$&quot;* #,##0.00\);_(&quot;R$&quot;* &quot;-&quot;??_);_(@_)"/>
    <numFmt numFmtId="184" formatCode="_(* #,##0.00_);\(* #,##0.00\);_(* &quot;-&quot;??_);_(@_)"/>
    <numFmt numFmtId="185" formatCode="[Black]#0.00"/>
    <numFmt numFmtId="186" formatCode="0.00_);[Red]\(0.00\)"/>
    <numFmt numFmtId="187" formatCode="_*\ \(#,##0.00_);* \(#,##0.00\);_(* &quot;-&quot;??_);_(@_)"/>
    <numFmt numFmtId="188" formatCode="#,##0.0_);[Red]\(#,##0.0\)"/>
    <numFmt numFmtId="189" formatCode="_(* #,##0.0_);_(* \(#,##0.0\);_(* &quot;-&quot;??_);_(@_)"/>
    <numFmt numFmtId="190" formatCode="_(* #,##0.000_);_(* \(#,##0.000\);_(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9"/>
      <color indexed="8"/>
      <name val="Calibri"/>
      <family val="2"/>
    </font>
    <font>
      <b/>
      <u val="single"/>
      <sz val="9"/>
      <color indexed="9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u val="single"/>
      <sz val="9"/>
      <color theme="1"/>
      <name val="Calibri"/>
      <family val="2"/>
    </font>
    <font>
      <b/>
      <u val="single"/>
      <sz val="10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u val="single"/>
      <sz val="10"/>
      <color rgb="FF000000"/>
      <name val="Arial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6" fillId="0" borderId="0" applyFont="0" applyFill="0" applyBorder="0" applyAlignment="0" applyProtection="0"/>
  </cellStyleXfs>
  <cellXfs count="343">
    <xf numFmtId="0" fontId="0" fillId="0" borderId="0" xfId="0" applyFont="1" applyAlignment="1">
      <alignment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center" vertical="center"/>
    </xf>
    <xf numFmtId="3" fontId="65" fillId="0" borderId="12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3" fontId="68" fillId="0" borderId="12" xfId="0" applyNumberFormat="1" applyFont="1" applyBorder="1" applyAlignment="1">
      <alignment horizontal="center" vertical="center"/>
    </xf>
    <xf numFmtId="3" fontId="66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2" fontId="65" fillId="0" borderId="12" xfId="0" applyNumberFormat="1" applyFont="1" applyBorder="1" applyAlignment="1">
      <alignment horizontal="center" vertical="center"/>
    </xf>
    <xf numFmtId="4" fontId="65" fillId="0" borderId="12" xfId="0" applyNumberFormat="1" applyFont="1" applyBorder="1" applyAlignment="1">
      <alignment horizontal="center" vertical="center"/>
    </xf>
    <xf numFmtId="39" fontId="67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9" fillId="0" borderId="11" xfId="0" applyFont="1" applyBorder="1" applyAlignment="1">
      <alignment/>
    </xf>
    <xf numFmtId="0" fontId="65" fillId="0" borderId="14" xfId="0" applyFont="1" applyBorder="1" applyAlignment="1">
      <alignment horizontal="centerContinuous" vertical="center"/>
    </xf>
    <xf numFmtId="0" fontId="65" fillId="0" borderId="15" xfId="0" applyFont="1" applyBorder="1" applyAlignment="1">
      <alignment horizontal="centerContinuous" vertical="center"/>
    </xf>
    <xf numFmtId="0" fontId="70" fillId="0" borderId="14" xfId="0" applyFont="1" applyBorder="1" applyAlignment="1">
      <alignment horizontal="centerContinuous" vertical="center"/>
    </xf>
    <xf numFmtId="0" fontId="64" fillId="0" borderId="15" xfId="0" applyFont="1" applyBorder="1" applyAlignment="1">
      <alignment horizontal="centerContinuous" vertical="center"/>
    </xf>
    <xf numFmtId="2" fontId="0" fillId="0" borderId="0" xfId="0" applyNumberFormat="1" applyAlignment="1">
      <alignment/>
    </xf>
    <xf numFmtId="43" fontId="0" fillId="0" borderId="0" xfId="69" applyFont="1" applyAlignment="1">
      <alignment/>
    </xf>
    <xf numFmtId="3" fontId="0" fillId="0" borderId="0" xfId="0" applyNumberFormat="1" applyAlignment="1">
      <alignment/>
    </xf>
    <xf numFmtId="0" fontId="67" fillId="0" borderId="13" xfId="0" applyFont="1" applyBorder="1" applyAlignment="1">
      <alignment horizontal="center" vertical="center"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3" fillId="0" borderId="16" xfId="0" applyFont="1" applyFill="1" applyBorder="1" applyAlignment="1">
      <alignment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Alignment="1">
      <alignment/>
    </xf>
    <xf numFmtId="0" fontId="74" fillId="0" borderId="0" xfId="0" applyFont="1" applyFill="1" applyAlignment="1">
      <alignment horizontal="left" vertical="center" indent="1"/>
    </xf>
    <xf numFmtId="0" fontId="74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center"/>
    </xf>
    <xf numFmtId="3" fontId="74" fillId="0" borderId="0" xfId="0" applyNumberFormat="1" applyFont="1" applyFill="1" applyAlignment="1">
      <alignment horizontal="right" vertical="center"/>
    </xf>
    <xf numFmtId="0" fontId="75" fillId="0" borderId="0" xfId="0" applyFont="1" applyFill="1" applyAlignment="1">
      <alignment horizontal="center" vertical="center" wrapText="1"/>
    </xf>
    <xf numFmtId="3" fontId="71" fillId="0" borderId="0" xfId="0" applyNumberFormat="1" applyFont="1" applyFill="1" applyAlignment="1">
      <alignment/>
    </xf>
    <xf numFmtId="169" fontId="71" fillId="0" borderId="0" xfId="71" applyNumberFormat="1" applyFont="1" applyFill="1" applyAlignment="1">
      <alignment/>
    </xf>
    <xf numFmtId="0" fontId="74" fillId="0" borderId="0" xfId="0" applyFont="1" applyFill="1" applyAlignment="1">
      <alignment horizontal="right" vertical="center"/>
    </xf>
    <xf numFmtId="3" fontId="74" fillId="0" borderId="16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/>
    </xf>
    <xf numFmtId="43" fontId="71" fillId="0" borderId="0" xfId="69" applyFont="1" applyFill="1" applyBorder="1" applyAlignment="1">
      <alignment/>
    </xf>
    <xf numFmtId="3" fontId="73" fillId="0" borderId="0" xfId="0" applyNumberFormat="1" applyFont="1" applyFill="1" applyAlignment="1">
      <alignment horizontal="right" vertical="center"/>
    </xf>
    <xf numFmtId="3" fontId="73" fillId="0" borderId="0" xfId="0" applyNumberFormat="1" applyFont="1" applyFill="1" applyBorder="1" applyAlignment="1">
      <alignment horizontal="right" vertical="center"/>
    </xf>
    <xf numFmtId="172" fontId="71" fillId="0" borderId="0" xfId="0" applyNumberFormat="1" applyFont="1" applyFill="1" applyAlignment="1">
      <alignment/>
    </xf>
    <xf numFmtId="4" fontId="71" fillId="0" borderId="0" xfId="0" applyNumberFormat="1" applyFont="1" applyFill="1" applyAlignment="1">
      <alignment/>
    </xf>
    <xf numFmtId="3" fontId="74" fillId="0" borderId="0" xfId="0" applyNumberFormat="1" applyFont="1" applyFill="1" applyBorder="1" applyAlignment="1">
      <alignment horizontal="right" vertical="center"/>
    </xf>
    <xf numFmtId="0" fontId="73" fillId="0" borderId="0" xfId="0" applyFont="1" applyFill="1" applyAlignment="1">
      <alignment horizontal="center" vertical="center" wrapText="1"/>
    </xf>
    <xf numFmtId="169" fontId="71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 horizontal="right" vertical="center"/>
    </xf>
    <xf numFmtId="43" fontId="74" fillId="0" borderId="0" xfId="69" applyFont="1" applyFill="1" applyAlignment="1">
      <alignment horizontal="right" vertical="center"/>
    </xf>
    <xf numFmtId="172" fontId="71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3" fontId="73" fillId="0" borderId="17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center"/>
    </xf>
    <xf numFmtId="172" fontId="71" fillId="0" borderId="0" xfId="69" applyNumberFormat="1" applyFont="1" applyFill="1" applyBorder="1" applyAlignment="1">
      <alignment/>
    </xf>
    <xf numFmtId="43" fontId="71" fillId="0" borderId="0" xfId="69" applyFont="1" applyFill="1" applyAlignment="1">
      <alignment/>
    </xf>
    <xf numFmtId="172" fontId="72" fillId="0" borderId="0" xfId="69" applyNumberFormat="1" applyFont="1" applyFill="1" applyAlignment="1">
      <alignment/>
    </xf>
    <xf numFmtId="3" fontId="73" fillId="0" borderId="0" xfId="0" applyNumberFormat="1" applyFont="1" applyFill="1" applyAlignment="1">
      <alignment/>
    </xf>
    <xf numFmtId="172" fontId="72" fillId="0" borderId="0" xfId="0" applyNumberFormat="1" applyFont="1" applyFill="1" applyAlignment="1">
      <alignment/>
    </xf>
    <xf numFmtId="3" fontId="73" fillId="0" borderId="0" xfId="0" applyNumberFormat="1" applyFont="1" applyFill="1" applyAlignment="1">
      <alignment/>
    </xf>
    <xf numFmtId="0" fontId="35" fillId="0" borderId="0" xfId="50" applyFont="1" applyFill="1" applyAlignment="1">
      <alignment horizontal="center"/>
      <protection/>
    </xf>
    <xf numFmtId="0" fontId="36" fillId="0" borderId="0" xfId="50" applyFont="1" applyFill="1" applyAlignment="1">
      <alignment horizontal="center"/>
      <protection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71" fillId="0" borderId="0" xfId="0" applyFont="1" applyAlignment="1">
      <alignment horizontal="justify" vertical="center"/>
    </xf>
    <xf numFmtId="0" fontId="71" fillId="0" borderId="0" xfId="0" applyFont="1" applyAlignment="1">
      <alignment/>
    </xf>
    <xf numFmtId="43" fontId="72" fillId="0" borderId="0" xfId="69" applyFont="1" applyFill="1" applyAlignment="1">
      <alignment/>
    </xf>
    <xf numFmtId="0" fontId="36" fillId="0" borderId="0" xfId="50" applyFont="1" applyFill="1">
      <alignment/>
      <protection/>
    </xf>
    <xf numFmtId="0" fontId="35" fillId="0" borderId="0" xfId="50" applyFont="1" applyFill="1">
      <alignment/>
      <protection/>
    </xf>
    <xf numFmtId="0" fontId="35" fillId="0" borderId="0" xfId="50" applyFont="1" applyFill="1" applyBorder="1">
      <alignment/>
      <protection/>
    </xf>
    <xf numFmtId="0" fontId="71" fillId="0" borderId="0" xfId="51" applyFont="1" applyFill="1">
      <alignment/>
      <protection/>
    </xf>
    <xf numFmtId="49" fontId="73" fillId="0" borderId="0" xfId="51" applyNumberFormat="1" applyFont="1" applyFill="1">
      <alignment/>
      <protection/>
    </xf>
    <xf numFmtId="49" fontId="74" fillId="0" borderId="0" xfId="51" applyNumberFormat="1" applyFont="1" applyFill="1">
      <alignment/>
      <protection/>
    </xf>
    <xf numFmtId="49" fontId="74" fillId="0" borderId="0" xfId="51" applyNumberFormat="1" applyFont="1" applyFill="1" applyBorder="1">
      <alignment/>
      <protection/>
    </xf>
    <xf numFmtId="49" fontId="73" fillId="0" borderId="16" xfId="51" applyNumberFormat="1" applyFont="1" applyFill="1" applyBorder="1" applyAlignment="1">
      <alignment horizontal="center" wrapText="1"/>
      <protection/>
    </xf>
    <xf numFmtId="0" fontId="73" fillId="0" borderId="16" xfId="51" applyNumberFormat="1" applyFont="1" applyFill="1" applyBorder="1" applyAlignment="1">
      <alignment horizontal="center"/>
      <protection/>
    </xf>
    <xf numFmtId="49" fontId="73" fillId="0" borderId="0" xfId="51" applyNumberFormat="1" applyFont="1" applyFill="1" applyBorder="1" applyAlignment="1">
      <alignment horizontal="center" wrapText="1"/>
      <protection/>
    </xf>
    <xf numFmtId="0" fontId="72" fillId="0" borderId="0" xfId="51" applyFont="1" applyFill="1" applyAlignment="1">
      <alignment horizontal="center"/>
      <protection/>
    </xf>
    <xf numFmtId="0" fontId="71" fillId="0" borderId="0" xfId="51" applyFont="1" applyFill="1" applyBorder="1">
      <alignment/>
      <protection/>
    </xf>
    <xf numFmtId="49" fontId="74" fillId="0" borderId="0" xfId="51" applyNumberFormat="1" applyFont="1" applyFill="1" applyAlignment="1">
      <alignment horizontal="left" indent="1"/>
      <protection/>
    </xf>
    <xf numFmtId="1" fontId="73" fillId="0" borderId="0" xfId="51" applyNumberFormat="1" applyFont="1" applyFill="1" applyAlignment="1">
      <alignment horizontal="center"/>
      <protection/>
    </xf>
    <xf numFmtId="169" fontId="35" fillId="0" borderId="0" xfId="71" applyNumberFormat="1" applyFont="1" applyFill="1" applyAlignment="1">
      <alignment/>
    </xf>
    <xf numFmtId="1" fontId="74" fillId="0" borderId="0" xfId="51" applyNumberFormat="1" applyFont="1" applyFill="1" applyBorder="1">
      <alignment/>
      <protection/>
    </xf>
    <xf numFmtId="169" fontId="35" fillId="0" borderId="0" xfId="50" applyNumberFormat="1" applyFont="1" applyFill="1">
      <alignment/>
      <protection/>
    </xf>
    <xf numFmtId="169" fontId="71" fillId="0" borderId="0" xfId="71" applyNumberFormat="1" applyFont="1" applyFill="1" applyBorder="1" applyAlignment="1">
      <alignment/>
    </xf>
    <xf numFmtId="172" fontId="35" fillId="0" borderId="0" xfId="50" applyNumberFormat="1" applyFont="1" applyFill="1">
      <alignment/>
      <protection/>
    </xf>
    <xf numFmtId="169" fontId="72" fillId="0" borderId="0" xfId="71" applyNumberFormat="1" applyFont="1" applyFill="1" applyAlignment="1">
      <alignment/>
    </xf>
    <xf numFmtId="169" fontId="72" fillId="0" borderId="18" xfId="71" applyNumberFormat="1" applyFont="1" applyFill="1" applyBorder="1" applyAlignment="1">
      <alignment/>
    </xf>
    <xf numFmtId="169" fontId="71" fillId="0" borderId="16" xfId="71" applyNumberFormat="1" applyFont="1" applyFill="1" applyBorder="1" applyAlignment="1">
      <alignment/>
    </xf>
    <xf numFmtId="169" fontId="36" fillId="0" borderId="0" xfId="50" applyNumberFormat="1" applyFont="1" applyFill="1">
      <alignment/>
      <protection/>
    </xf>
    <xf numFmtId="172" fontId="35" fillId="0" borderId="0" xfId="69" applyNumberFormat="1" applyFont="1" applyFill="1" applyAlignment="1">
      <alignment/>
    </xf>
    <xf numFmtId="169" fontId="72" fillId="0" borderId="19" xfId="71" applyNumberFormat="1" applyFont="1" applyFill="1" applyBorder="1" applyAlignment="1">
      <alignment/>
    </xf>
    <xf numFmtId="0" fontId="35" fillId="0" borderId="0" xfId="50" applyFont="1" applyFill="1" applyAlignment="1">
      <alignment/>
      <protection/>
    </xf>
    <xf numFmtId="0" fontId="36" fillId="0" borderId="0" xfId="50" applyFont="1" applyFill="1" applyAlignment="1">
      <alignment/>
      <protection/>
    </xf>
    <xf numFmtId="0" fontId="35" fillId="0" borderId="0" xfId="50" applyFont="1" applyFill="1" applyBorder="1" applyAlignment="1">
      <alignment/>
      <protection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Fill="1" applyBorder="1" applyAlignment="1">
      <alignment vertic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 horizontal="centerContinuous" vertical="center" wrapText="1"/>
    </xf>
    <xf numFmtId="0" fontId="73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173" fontId="73" fillId="0" borderId="20" xfId="0" applyNumberFormat="1" applyFont="1" applyBorder="1" applyAlignment="1">
      <alignment horizontal="right" vertical="center"/>
    </xf>
    <xf numFmtId="173" fontId="73" fillId="0" borderId="0" xfId="0" applyNumberFormat="1" applyFont="1" applyBorder="1" applyAlignment="1">
      <alignment horizontal="right" vertical="center"/>
    </xf>
    <xf numFmtId="173" fontId="72" fillId="0" borderId="0" xfId="0" applyNumberFormat="1" applyFont="1" applyAlignment="1">
      <alignment vertical="center" wrapText="1"/>
    </xf>
    <xf numFmtId="173" fontId="73" fillId="0" borderId="0" xfId="0" applyNumberFormat="1" applyFont="1" applyFill="1" applyBorder="1" applyAlignment="1">
      <alignment horizontal="right" vertical="center"/>
    </xf>
    <xf numFmtId="173" fontId="71" fillId="0" borderId="0" xfId="69" applyNumberFormat="1" applyFont="1" applyFill="1" applyBorder="1" applyAlignment="1">
      <alignment/>
    </xf>
    <xf numFmtId="173" fontId="71" fillId="0" borderId="0" xfId="69" applyNumberFormat="1" applyFont="1" applyBorder="1" applyAlignment="1">
      <alignment/>
    </xf>
    <xf numFmtId="43" fontId="71" fillId="0" borderId="0" xfId="69" applyFont="1" applyBorder="1" applyAlignment="1">
      <alignment/>
    </xf>
    <xf numFmtId="41" fontId="71" fillId="0" borderId="0" xfId="0" applyNumberFormat="1" applyFont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43" fontId="71" fillId="0" borderId="0" xfId="69" applyFont="1" applyFill="1" applyBorder="1" applyAlignment="1">
      <alignment/>
    </xf>
    <xf numFmtId="0" fontId="72" fillId="0" borderId="16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right" vertical="center"/>
    </xf>
    <xf numFmtId="173" fontId="72" fillId="0" borderId="0" xfId="0" applyNumberFormat="1" applyFont="1" applyFill="1" applyAlignment="1">
      <alignment horizontal="right" vertical="center"/>
    </xf>
    <xf numFmtId="173" fontId="71" fillId="0" borderId="0" xfId="0" applyNumberFormat="1" applyFont="1" applyFill="1" applyAlignment="1">
      <alignment horizontal="right" vertical="center"/>
    </xf>
    <xf numFmtId="0" fontId="71" fillId="0" borderId="0" xfId="0" applyFont="1" applyFill="1" applyAlignment="1">
      <alignment horizontal="left" vertical="center" indent="2"/>
    </xf>
    <xf numFmtId="173" fontId="71" fillId="0" borderId="0" xfId="0" applyNumberFormat="1" applyFont="1" applyFill="1" applyBorder="1" applyAlignment="1">
      <alignment horizontal="right" vertical="center"/>
    </xf>
    <xf numFmtId="173" fontId="72" fillId="0" borderId="0" xfId="0" applyNumberFormat="1" applyFont="1" applyFill="1" applyBorder="1" applyAlignment="1">
      <alignment horizontal="right" vertical="center"/>
    </xf>
    <xf numFmtId="169" fontId="71" fillId="0" borderId="0" xfId="0" applyNumberFormat="1" applyFont="1" applyFill="1" applyAlignment="1">
      <alignment/>
    </xf>
    <xf numFmtId="0" fontId="72" fillId="0" borderId="0" xfId="0" applyFont="1" applyFill="1" applyAlignment="1">
      <alignment horizontal="left" vertical="center" wrapText="1"/>
    </xf>
    <xf numFmtId="43" fontId="71" fillId="0" borderId="0" xfId="69" applyNumberFormat="1" applyFont="1" applyFill="1" applyAlignment="1">
      <alignment/>
    </xf>
    <xf numFmtId="172" fontId="71" fillId="0" borderId="0" xfId="0" applyNumberFormat="1" applyFont="1" applyFill="1" applyAlignment="1">
      <alignment/>
    </xf>
    <xf numFmtId="172" fontId="71" fillId="0" borderId="0" xfId="69" applyNumberFormat="1" applyFont="1" applyFill="1" applyAlignment="1">
      <alignment/>
    </xf>
    <xf numFmtId="0" fontId="71" fillId="0" borderId="0" xfId="0" applyFont="1" applyFill="1" applyBorder="1" applyAlignment="1">
      <alignment/>
    </xf>
    <xf numFmtId="173" fontId="71" fillId="0" borderId="0" xfId="0" applyNumberFormat="1" applyFont="1" applyFill="1" applyBorder="1" applyAlignment="1">
      <alignment/>
    </xf>
    <xf numFmtId="4" fontId="71" fillId="0" borderId="0" xfId="0" applyNumberFormat="1" applyFont="1" applyFill="1" applyBorder="1" applyAlignment="1">
      <alignment/>
    </xf>
    <xf numFmtId="0" fontId="71" fillId="0" borderId="0" xfId="0" applyFont="1" applyAlignment="1">
      <alignment horizontal="center"/>
    </xf>
    <xf numFmtId="43" fontId="71" fillId="0" borderId="0" xfId="69" applyFont="1" applyFill="1" applyBorder="1" applyAlignment="1">
      <alignment horizontal="center"/>
    </xf>
    <xf numFmtId="0" fontId="73" fillId="0" borderId="0" xfId="0" applyFont="1" applyFill="1" applyAlignment="1">
      <alignment vertical="center"/>
    </xf>
    <xf numFmtId="173" fontId="71" fillId="0" borderId="0" xfId="0" applyNumberFormat="1" applyFont="1" applyFill="1" applyAlignment="1">
      <alignment/>
    </xf>
    <xf numFmtId="3" fontId="74" fillId="0" borderId="0" xfId="0" applyNumberFormat="1" applyFont="1" applyFill="1" applyAlignment="1">
      <alignment horizontal="right" vertical="center" wrapText="1"/>
    </xf>
    <xf numFmtId="3" fontId="71" fillId="0" borderId="0" xfId="0" applyNumberFormat="1" applyFont="1" applyFill="1" applyAlignment="1">
      <alignment vertical="center" wrapText="1"/>
    </xf>
    <xf numFmtId="3" fontId="72" fillId="0" borderId="0" xfId="0" applyNumberFormat="1" applyFont="1" applyFill="1" applyAlignment="1">
      <alignment vertical="center" wrapText="1"/>
    </xf>
    <xf numFmtId="169" fontId="71" fillId="0" borderId="0" xfId="51" applyNumberFormat="1" applyFont="1" applyFill="1">
      <alignment/>
      <protection/>
    </xf>
    <xf numFmtId="173" fontId="71" fillId="0" borderId="0" xfId="0" applyNumberFormat="1" applyFont="1" applyBorder="1" applyAlignment="1">
      <alignment/>
    </xf>
    <xf numFmtId="0" fontId="71" fillId="0" borderId="0" xfId="0" applyFont="1" applyFill="1" applyAlignment="1">
      <alignment horizontal="left" indent="14"/>
    </xf>
    <xf numFmtId="0" fontId="71" fillId="0" borderId="0" xfId="0" applyFont="1" applyFill="1" applyAlignment="1">
      <alignment horizontal="left" indent="31"/>
    </xf>
    <xf numFmtId="43" fontId="71" fillId="0" borderId="0" xfId="69" applyFont="1" applyFill="1" applyAlignment="1">
      <alignment/>
    </xf>
    <xf numFmtId="0" fontId="73" fillId="0" borderId="0" xfId="0" applyFont="1" applyFill="1" applyAlignment="1">
      <alignment vertical="center"/>
    </xf>
    <xf numFmtId="0" fontId="35" fillId="0" borderId="0" xfId="50" applyFont="1" applyFill="1" applyAlignment="1">
      <alignment horizontal="right"/>
      <protection/>
    </xf>
    <xf numFmtId="3" fontId="72" fillId="0" borderId="0" xfId="0" applyNumberFormat="1" applyFont="1" applyFill="1" applyAlignment="1">
      <alignment/>
    </xf>
    <xf numFmtId="43" fontId="72" fillId="0" borderId="0" xfId="0" applyNumberFormat="1" applyFont="1" applyFill="1" applyAlignment="1">
      <alignment/>
    </xf>
    <xf numFmtId="169" fontId="35" fillId="0" borderId="0" xfId="50" applyNumberFormat="1" applyFont="1" applyFill="1" applyAlignment="1">
      <alignment horizontal="center"/>
      <protection/>
    </xf>
    <xf numFmtId="37" fontId="73" fillId="0" borderId="20" xfId="69" applyNumberFormat="1" applyFont="1" applyBorder="1" applyAlignment="1">
      <alignment horizontal="right" vertical="center"/>
    </xf>
    <xf numFmtId="43" fontId="72" fillId="0" borderId="0" xfId="69" applyFont="1" applyBorder="1" applyAlignment="1">
      <alignment/>
    </xf>
    <xf numFmtId="173" fontId="71" fillId="0" borderId="0" xfId="0" applyNumberFormat="1" applyFont="1" applyFill="1" applyAlignment="1">
      <alignment horizontal="right"/>
    </xf>
    <xf numFmtId="173" fontId="71" fillId="0" borderId="0" xfId="0" applyNumberFormat="1" applyFont="1" applyFill="1" applyAlignment="1">
      <alignment/>
    </xf>
    <xf numFmtId="173" fontId="71" fillId="0" borderId="17" xfId="0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horizontal="justify" vertical="center"/>
    </xf>
    <xf numFmtId="172" fontId="36" fillId="0" borderId="0" xfId="69" applyNumberFormat="1" applyFont="1" applyFill="1" applyAlignment="1">
      <alignment horizontal="center"/>
    </xf>
    <xf numFmtId="172" fontId="35" fillId="0" borderId="0" xfId="69" applyNumberFormat="1" applyFont="1" applyFill="1" applyAlignment="1">
      <alignment horizontal="center"/>
    </xf>
    <xf numFmtId="172" fontId="35" fillId="0" borderId="0" xfId="69" applyNumberFormat="1" applyFont="1" applyFill="1" applyBorder="1" applyAlignment="1">
      <alignment/>
    </xf>
    <xf numFmtId="0" fontId="76" fillId="0" borderId="0" xfId="0" applyFont="1" applyFill="1" applyAlignment="1">
      <alignment horizontal="left" vertical="center" indent="2"/>
    </xf>
    <xf numFmtId="3" fontId="74" fillId="0" borderId="0" xfId="69" applyNumberFormat="1" applyFont="1" applyFill="1" applyAlignment="1">
      <alignment horizontal="right" vertical="center"/>
    </xf>
    <xf numFmtId="3" fontId="73" fillId="0" borderId="17" xfId="69" applyNumberFormat="1" applyFont="1" applyFill="1" applyBorder="1" applyAlignment="1">
      <alignment horizontal="right" vertical="center"/>
    </xf>
    <xf numFmtId="3" fontId="73" fillId="0" borderId="0" xfId="69" applyNumberFormat="1" applyFont="1" applyFill="1" applyBorder="1" applyAlignment="1">
      <alignment horizontal="right" vertical="center"/>
    </xf>
    <xf numFmtId="3" fontId="71" fillId="0" borderId="0" xfId="0" applyNumberFormat="1" applyFont="1" applyFill="1" applyAlignment="1">
      <alignment vertical="center"/>
    </xf>
    <xf numFmtId="3" fontId="74" fillId="0" borderId="16" xfId="69" applyNumberFormat="1" applyFont="1" applyFill="1" applyBorder="1" applyAlignment="1">
      <alignment horizontal="right" vertical="center"/>
    </xf>
    <xf numFmtId="3" fontId="73" fillId="0" borderId="19" xfId="69" applyNumberFormat="1" applyFont="1" applyFill="1" applyBorder="1" applyAlignment="1">
      <alignment horizontal="right" vertical="center"/>
    </xf>
    <xf numFmtId="169" fontId="35" fillId="0" borderId="0" xfId="50" applyNumberFormat="1" applyFont="1" applyFill="1" applyBorder="1">
      <alignment/>
      <protection/>
    </xf>
    <xf numFmtId="4" fontId="66" fillId="0" borderId="12" xfId="0" applyNumberFormat="1" applyFont="1" applyBorder="1" applyAlignment="1">
      <alignment horizontal="center" vertical="center"/>
    </xf>
    <xf numFmtId="0" fontId="71" fillId="0" borderId="0" xfId="0" applyFont="1" applyFill="1" applyAlignment="1">
      <alignment horizontal="left" indent="51"/>
    </xf>
    <xf numFmtId="0" fontId="77" fillId="0" borderId="0" xfId="0" applyFont="1" applyFill="1" applyAlignment="1">
      <alignment vertical="center"/>
    </xf>
    <xf numFmtId="0" fontId="6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0" xfId="50" applyFont="1" applyFill="1" applyBorder="1">
      <alignment/>
      <protection/>
    </xf>
    <xf numFmtId="0" fontId="76" fillId="0" borderId="0" xfId="51" applyFont="1" applyFill="1">
      <alignment/>
      <protection/>
    </xf>
    <xf numFmtId="49" fontId="78" fillId="0" borderId="0" xfId="51" applyNumberFormat="1" applyFont="1" applyFill="1">
      <alignment/>
      <protection/>
    </xf>
    <xf numFmtId="49" fontId="79" fillId="0" borderId="0" xfId="51" applyNumberFormat="1" applyFont="1" applyFill="1">
      <alignment/>
      <protection/>
    </xf>
    <xf numFmtId="49" fontId="79" fillId="0" borderId="0" xfId="51" applyNumberFormat="1" applyFont="1" applyFill="1" applyBorder="1">
      <alignment/>
      <protection/>
    </xf>
    <xf numFmtId="0" fontId="78" fillId="0" borderId="16" xfId="51" applyNumberFormat="1" applyFont="1" applyFill="1" applyBorder="1" applyAlignment="1">
      <alignment horizontal="center"/>
      <protection/>
    </xf>
    <xf numFmtId="0" fontId="6" fillId="0" borderId="0" xfId="50" applyFont="1" applyFill="1" applyAlignment="1">
      <alignment horizontal="center"/>
      <protection/>
    </xf>
    <xf numFmtId="49" fontId="78" fillId="0" borderId="0" xfId="51" applyNumberFormat="1" applyFont="1" applyFill="1" applyBorder="1" applyAlignment="1">
      <alignment horizontal="center" wrapText="1"/>
      <protection/>
    </xf>
    <xf numFmtId="0" fontId="78" fillId="0" borderId="0" xfId="51" applyNumberFormat="1" applyFont="1" applyFill="1" applyBorder="1" applyAlignment="1">
      <alignment horizontal="center"/>
      <protection/>
    </xf>
    <xf numFmtId="3" fontId="78" fillId="0" borderId="0" xfId="51" applyNumberFormat="1" applyFont="1" applyFill="1" applyBorder="1" applyAlignment="1">
      <alignment horizontal="center"/>
      <protection/>
    </xf>
    <xf numFmtId="0" fontId="80" fillId="0" borderId="0" xfId="0" applyFont="1" applyAlignment="1">
      <alignment/>
    </xf>
    <xf numFmtId="174" fontId="81" fillId="0" borderId="0" xfId="51" applyNumberFormat="1" applyFont="1" applyFill="1" applyBorder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35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3" fontId="78" fillId="0" borderId="19" xfId="51" applyNumberFormat="1" applyFont="1" applyFill="1" applyBorder="1" applyAlignment="1">
      <alignment horizontal="center"/>
      <protection/>
    </xf>
    <xf numFmtId="0" fontId="82" fillId="0" borderId="0" xfId="0" applyFont="1" applyFill="1" applyAlignment="1">
      <alignment horizontal="left"/>
    </xf>
    <xf numFmtId="0" fontId="72" fillId="0" borderId="0" xfId="0" applyFont="1" applyFill="1" applyAlignment="1">
      <alignment vertical="center"/>
    </xf>
    <xf numFmtId="4" fontId="68" fillId="0" borderId="12" xfId="0" applyNumberFormat="1" applyFont="1" applyBorder="1" applyAlignment="1">
      <alignment horizontal="center" vertical="center"/>
    </xf>
    <xf numFmtId="0" fontId="72" fillId="0" borderId="0" xfId="0" applyFont="1" applyFill="1" applyAlignment="1">
      <alignment horizontal="left" vertical="center" indent="8"/>
    </xf>
    <xf numFmtId="0" fontId="72" fillId="0" borderId="0" xfId="0" applyFont="1" applyAlignment="1">
      <alignment horizontal="left" vertical="center"/>
    </xf>
    <xf numFmtId="0" fontId="71" fillId="0" borderId="0" xfId="0" applyFont="1" applyAlignment="1">
      <alignment horizontal="left" indent="2"/>
    </xf>
    <xf numFmtId="0" fontId="72" fillId="0" borderId="0" xfId="0" applyFont="1" applyBorder="1" applyAlignment="1">
      <alignment horizontal="left" indent="2"/>
    </xf>
    <xf numFmtId="0" fontId="71" fillId="0" borderId="0" xfId="0" applyFont="1" applyBorder="1" applyAlignment="1">
      <alignment horizontal="left" indent="2"/>
    </xf>
    <xf numFmtId="0" fontId="72" fillId="0" borderId="0" xfId="0" applyFont="1" applyFill="1" applyBorder="1" applyAlignment="1">
      <alignment horizontal="left" indent="2"/>
    </xf>
    <xf numFmtId="0" fontId="71" fillId="0" borderId="0" xfId="0" applyFont="1" applyFill="1" applyAlignment="1">
      <alignment horizontal="left" indent="2"/>
    </xf>
    <xf numFmtId="0" fontId="72" fillId="0" borderId="0" xfId="0" applyFont="1" applyFill="1" applyAlignment="1">
      <alignment horizontal="left" indent="2"/>
    </xf>
    <xf numFmtId="0" fontId="42" fillId="0" borderId="0" xfId="0" applyFont="1" applyFill="1" applyAlignment="1">
      <alignment/>
    </xf>
    <xf numFmtId="40" fontId="42" fillId="0" borderId="0" xfId="0" applyNumberFormat="1" applyFont="1" applyFill="1" applyAlignment="1">
      <alignment/>
    </xf>
    <xf numFmtId="43" fontId="42" fillId="0" borderId="0" xfId="69" applyFont="1" applyFill="1" applyAlignment="1">
      <alignment/>
    </xf>
    <xf numFmtId="0" fontId="42" fillId="0" borderId="21" xfId="0" applyFont="1" applyFill="1" applyBorder="1" applyAlignment="1">
      <alignment/>
    </xf>
    <xf numFmtId="0" fontId="43" fillId="0" borderId="22" xfId="0" applyFont="1" applyFill="1" applyBorder="1" applyAlignment="1">
      <alignment vertical="center"/>
    </xf>
    <xf numFmtId="40" fontId="42" fillId="0" borderId="22" xfId="0" applyNumberFormat="1" applyFont="1" applyFill="1" applyBorder="1" applyAlignment="1">
      <alignment/>
    </xf>
    <xf numFmtId="40" fontId="42" fillId="0" borderId="23" xfId="0" applyNumberFormat="1" applyFont="1" applyFill="1" applyBorder="1" applyAlignment="1">
      <alignment/>
    </xf>
    <xf numFmtId="0" fontId="42" fillId="0" borderId="0" xfId="0" applyFont="1" applyFill="1" applyAlignment="1">
      <alignment vertical="center"/>
    </xf>
    <xf numFmtId="0" fontId="43" fillId="0" borderId="13" xfId="0" applyFont="1" applyFill="1" applyBorder="1" applyAlignment="1">
      <alignment vertical="center"/>
    </xf>
    <xf numFmtId="40" fontId="43" fillId="0" borderId="13" xfId="0" applyNumberFormat="1" applyFont="1" applyFill="1" applyBorder="1" applyAlignment="1">
      <alignment horizontal="centerContinuous" vertical="center"/>
    </xf>
    <xf numFmtId="43" fontId="42" fillId="0" borderId="0" xfId="69" applyFont="1" applyFill="1" applyAlignment="1">
      <alignment vertical="center"/>
    </xf>
    <xf numFmtId="0" fontId="43" fillId="0" borderId="0" xfId="0" applyFont="1" applyFill="1" applyAlignment="1">
      <alignment/>
    </xf>
    <xf numFmtId="0" fontId="43" fillId="0" borderId="24" xfId="69" applyNumberFormat="1" applyFont="1" applyFill="1" applyBorder="1" applyAlignment="1">
      <alignment/>
    </xf>
    <xf numFmtId="0" fontId="43" fillId="0" borderId="24" xfId="0" applyFont="1" applyFill="1" applyBorder="1" applyAlignment="1">
      <alignment/>
    </xf>
    <xf numFmtId="40" fontId="43" fillId="0" borderId="24" xfId="0" applyNumberFormat="1" applyFont="1" applyFill="1" applyBorder="1" applyAlignment="1">
      <alignment horizontal="right"/>
    </xf>
    <xf numFmtId="43" fontId="43" fillId="0" borderId="0" xfId="69" applyFont="1" applyFill="1" applyAlignment="1">
      <alignment/>
    </xf>
    <xf numFmtId="175" fontId="43" fillId="0" borderId="24" xfId="69" applyNumberFormat="1" applyFont="1" applyFill="1" applyBorder="1" applyAlignment="1">
      <alignment/>
    </xf>
    <xf numFmtId="175" fontId="42" fillId="0" borderId="24" xfId="69" applyNumberFormat="1" applyFont="1" applyFill="1" applyBorder="1" applyAlignment="1">
      <alignment/>
    </xf>
    <xf numFmtId="0" fontId="42" fillId="0" borderId="24" xfId="0" applyFont="1" applyFill="1" applyBorder="1" applyAlignment="1">
      <alignment/>
    </xf>
    <xf numFmtId="40" fontId="42" fillId="0" borderId="24" xfId="0" applyNumberFormat="1" applyFont="1" applyFill="1" applyBorder="1" applyAlignment="1">
      <alignment horizontal="right"/>
    </xf>
    <xf numFmtId="40" fontId="42" fillId="0" borderId="24" xfId="0" applyNumberFormat="1" applyFont="1" applyFill="1" applyBorder="1" applyAlignment="1">
      <alignment/>
    </xf>
    <xf numFmtId="40" fontId="43" fillId="0" borderId="24" xfId="0" applyNumberFormat="1" applyFont="1" applyFill="1" applyBorder="1" applyAlignment="1">
      <alignment/>
    </xf>
    <xf numFmtId="40" fontId="43" fillId="0" borderId="0" xfId="0" applyNumberFormat="1" applyFont="1" applyFill="1" applyAlignment="1">
      <alignment/>
    </xf>
    <xf numFmtId="43" fontId="74" fillId="0" borderId="0" xfId="69" applyFont="1" applyFill="1" applyAlignment="1">
      <alignment vertical="center"/>
    </xf>
    <xf numFmtId="171" fontId="71" fillId="0" borderId="0" xfId="0" applyNumberFormat="1" applyFont="1" applyFill="1" applyBorder="1" applyAlignment="1">
      <alignment/>
    </xf>
    <xf numFmtId="43" fontId="35" fillId="0" borderId="0" xfId="69" applyFont="1" applyFill="1" applyAlignment="1">
      <alignment/>
    </xf>
    <xf numFmtId="43" fontId="35" fillId="0" borderId="0" xfId="69" applyFont="1" applyFill="1" applyAlignment="1">
      <alignment/>
    </xf>
    <xf numFmtId="43" fontId="71" fillId="0" borderId="0" xfId="69" applyFont="1" applyAlignment="1">
      <alignment/>
    </xf>
    <xf numFmtId="43" fontId="72" fillId="0" borderId="0" xfId="69" applyFont="1" applyFill="1" applyBorder="1" applyAlignment="1">
      <alignment/>
    </xf>
    <xf numFmtId="43" fontId="73" fillId="0" borderId="0" xfId="69" applyFont="1" applyFill="1" applyAlignment="1">
      <alignment/>
    </xf>
    <xf numFmtId="43" fontId="72" fillId="0" borderId="0" xfId="69" applyFont="1" applyFill="1" applyAlignment="1">
      <alignment horizontal="center"/>
    </xf>
    <xf numFmtId="173" fontId="73" fillId="0" borderId="20" xfId="0" applyNumberFormat="1" applyFont="1" applyFill="1" applyBorder="1" applyAlignment="1">
      <alignment horizontal="right" vertical="center"/>
    </xf>
    <xf numFmtId="171" fontId="71" fillId="0" borderId="0" xfId="0" applyNumberFormat="1" applyFont="1" applyBorder="1" applyAlignment="1">
      <alignment/>
    </xf>
    <xf numFmtId="40" fontId="42" fillId="0" borderId="0" xfId="69" applyNumberFormat="1" applyFont="1" applyFill="1" applyAlignment="1">
      <alignment/>
    </xf>
    <xf numFmtId="40" fontId="42" fillId="0" borderId="0" xfId="69" applyNumberFormat="1" applyFont="1" applyFill="1" applyAlignment="1">
      <alignment vertical="center"/>
    </xf>
    <xf numFmtId="40" fontId="43" fillId="0" borderId="0" xfId="69" applyNumberFormat="1" applyFont="1" applyFill="1" applyAlignment="1">
      <alignment/>
    </xf>
    <xf numFmtId="175" fontId="43" fillId="33" borderId="24" xfId="69" applyNumberFormat="1" applyFont="1" applyFill="1" applyBorder="1" applyAlignment="1">
      <alignment/>
    </xf>
    <xf numFmtId="0" fontId="43" fillId="33" borderId="24" xfId="0" applyFont="1" applyFill="1" applyBorder="1" applyAlignment="1">
      <alignment/>
    </xf>
    <xf numFmtId="40" fontId="43" fillId="33" borderId="24" xfId="0" applyNumberFormat="1" applyFont="1" applyFill="1" applyBorder="1" applyAlignment="1">
      <alignment horizontal="right"/>
    </xf>
    <xf numFmtId="43" fontId="43" fillId="33" borderId="0" xfId="69" applyFont="1" applyFill="1" applyAlignment="1">
      <alignment/>
    </xf>
    <xf numFmtId="40" fontId="42" fillId="33" borderId="24" xfId="0" applyNumberFormat="1" applyFont="1" applyFill="1" applyBorder="1" applyAlignment="1">
      <alignment horizontal="right"/>
    </xf>
    <xf numFmtId="40" fontId="71" fillId="0" borderId="0" xfId="69" applyNumberFormat="1" applyFont="1" applyFill="1" applyAlignment="1">
      <alignment/>
    </xf>
    <xf numFmtId="40" fontId="71" fillId="0" borderId="0" xfId="69" applyNumberFormat="1" applyFont="1" applyFill="1" applyBorder="1" applyAlignment="1">
      <alignment/>
    </xf>
    <xf numFmtId="40" fontId="71" fillId="0" borderId="0" xfId="69" applyNumberFormat="1" applyFont="1" applyFill="1" applyAlignment="1">
      <alignment horizontal="right" vertical="center"/>
    </xf>
    <xf numFmtId="40" fontId="71" fillId="0" borderId="0" xfId="0" applyNumberFormat="1" applyFont="1" applyFill="1" applyBorder="1" applyAlignment="1">
      <alignment/>
    </xf>
    <xf numFmtId="40" fontId="71" fillId="0" borderId="0" xfId="0" applyNumberFormat="1" applyFont="1" applyFill="1" applyAlignment="1">
      <alignment/>
    </xf>
    <xf numFmtId="40" fontId="72" fillId="0" borderId="0" xfId="69" applyNumberFormat="1" applyFont="1" applyFill="1" applyAlignment="1">
      <alignment/>
    </xf>
    <xf numFmtId="40" fontId="71" fillId="0" borderId="0" xfId="0" applyNumberFormat="1" applyFont="1" applyFill="1" applyAlignment="1">
      <alignment horizontal="right"/>
    </xf>
    <xf numFmtId="40" fontId="71" fillId="0" borderId="0" xfId="69" applyNumberFormat="1" applyFont="1" applyFill="1" applyAlignment="1">
      <alignment horizontal="right"/>
    </xf>
    <xf numFmtId="40" fontId="71" fillId="0" borderId="0" xfId="0" applyNumberFormat="1" applyFont="1" applyFill="1" applyBorder="1" applyAlignment="1">
      <alignment/>
    </xf>
    <xf numFmtId="40" fontId="36" fillId="0" borderId="0" xfId="50" applyNumberFormat="1" applyFont="1" applyFill="1" applyAlignment="1">
      <alignment horizontal="center"/>
      <protection/>
    </xf>
    <xf numFmtId="40" fontId="35" fillId="0" borderId="0" xfId="50" applyNumberFormat="1" applyFont="1" applyFill="1" applyAlignment="1">
      <alignment horizontal="center"/>
      <protection/>
    </xf>
    <xf numFmtId="40" fontId="35" fillId="0" borderId="0" xfId="50" applyNumberFormat="1" applyFont="1" applyFill="1" applyAlignment="1">
      <alignment/>
      <protection/>
    </xf>
    <xf numFmtId="38" fontId="35" fillId="0" borderId="0" xfId="50" applyNumberFormat="1" applyFont="1" applyFill="1" applyAlignment="1">
      <alignment/>
      <protection/>
    </xf>
    <xf numFmtId="175" fontId="42" fillId="33" borderId="24" xfId="69" applyNumberFormat="1" applyFont="1" applyFill="1" applyBorder="1" applyAlignment="1">
      <alignment/>
    </xf>
    <xf numFmtId="0" fontId="42" fillId="33" borderId="24" xfId="0" applyFont="1" applyFill="1" applyBorder="1" applyAlignment="1">
      <alignment/>
    </xf>
    <xf numFmtId="43" fontId="42" fillId="33" borderId="0" xfId="69" applyFont="1" applyFill="1" applyAlignment="1">
      <alignment/>
    </xf>
    <xf numFmtId="0" fontId="72" fillId="0" borderId="0" xfId="0" applyFont="1" applyFill="1" applyAlignment="1">
      <alignment vertical="center"/>
    </xf>
    <xf numFmtId="43" fontId="0" fillId="0" borderId="0" xfId="69" applyFont="1" applyFill="1" applyAlignment="1">
      <alignment/>
    </xf>
    <xf numFmtId="0" fontId="0" fillId="0" borderId="0" xfId="0" applyFill="1" applyAlignment="1">
      <alignment/>
    </xf>
    <xf numFmtId="172" fontId="78" fillId="0" borderId="0" xfId="69" applyNumberFormat="1" applyFont="1" applyFill="1" applyBorder="1" applyAlignment="1">
      <alignment horizontal="center"/>
    </xf>
    <xf numFmtId="174" fontId="81" fillId="0" borderId="0" xfId="51" applyNumberFormat="1" applyFont="1" applyFill="1" applyBorder="1" applyAlignment="1">
      <alignment horizontal="right"/>
      <protection/>
    </xf>
    <xf numFmtId="3" fontId="78" fillId="0" borderId="19" xfId="51" applyNumberFormat="1" applyFont="1" applyFill="1" applyBorder="1" applyAlignment="1">
      <alignment horizontal="right"/>
      <protection/>
    </xf>
    <xf numFmtId="43" fontId="65" fillId="0" borderId="12" xfId="69" applyNumberFormat="1" applyFont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5" fillId="0" borderId="0" xfId="0" applyNumberFormat="1" applyFont="1" applyFill="1" applyAlignment="1">
      <alignment/>
    </xf>
    <xf numFmtId="0" fontId="36" fillId="0" borderId="1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173" fontId="36" fillId="0" borderId="0" xfId="0" applyNumberFormat="1" applyFont="1" applyFill="1" applyBorder="1" applyAlignment="1">
      <alignment horizontal="right" vertical="center"/>
    </xf>
    <xf numFmtId="173" fontId="35" fillId="0" borderId="0" xfId="0" applyNumberFormat="1" applyFont="1" applyFill="1" applyAlignment="1">
      <alignment horizontal="right" vertical="center"/>
    </xf>
    <xf numFmtId="173" fontId="35" fillId="0" borderId="0" xfId="0" applyNumberFormat="1" applyFont="1" applyFill="1" applyBorder="1" applyAlignment="1">
      <alignment/>
    </xf>
    <xf numFmtId="173" fontId="35" fillId="0" borderId="0" xfId="69" applyNumberFormat="1" applyFont="1" applyFill="1" applyAlignment="1">
      <alignment/>
    </xf>
    <xf numFmtId="173" fontId="36" fillId="0" borderId="17" xfId="0" applyNumberFormat="1" applyFont="1" applyFill="1" applyBorder="1" applyAlignment="1">
      <alignment horizontal="right" vertical="center"/>
    </xf>
    <xf numFmtId="173" fontId="36" fillId="0" borderId="16" xfId="0" applyNumberFormat="1" applyFont="1" applyFill="1" applyBorder="1" applyAlignment="1">
      <alignment horizontal="right" vertical="center"/>
    </xf>
    <xf numFmtId="173" fontId="36" fillId="0" borderId="0" xfId="0" applyNumberFormat="1" applyFont="1" applyFill="1" applyAlignment="1">
      <alignment horizontal="right" vertical="center"/>
    </xf>
    <xf numFmtId="173" fontId="35" fillId="0" borderId="0" xfId="69" applyNumberFormat="1" applyFont="1" applyFill="1" applyAlignment="1">
      <alignment horizontal="right" vertical="center"/>
    </xf>
    <xf numFmtId="173" fontId="35" fillId="0" borderId="0" xfId="0" applyNumberFormat="1" applyFont="1" applyFill="1" applyAlignment="1">
      <alignment/>
    </xf>
    <xf numFmtId="173" fontId="36" fillId="0" borderId="19" xfId="0" applyNumberFormat="1" applyFont="1" applyFill="1" applyBorder="1" applyAlignment="1">
      <alignment horizontal="right" vertical="center"/>
    </xf>
    <xf numFmtId="173" fontId="36" fillId="0" borderId="0" xfId="0" applyNumberFormat="1" applyFont="1" applyFill="1" applyAlignment="1">
      <alignment vertical="center" wrapText="1"/>
    </xf>
    <xf numFmtId="173" fontId="35" fillId="0" borderId="0" xfId="0" applyNumberFormat="1" applyFont="1" applyFill="1" applyBorder="1" applyAlignment="1">
      <alignment horizontal="right" vertical="center"/>
    </xf>
    <xf numFmtId="37" fontId="35" fillId="0" borderId="0" xfId="69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43" fontId="35" fillId="0" borderId="0" xfId="69" applyFont="1" applyFill="1" applyBorder="1" applyAlignment="1">
      <alignment horizontal="center"/>
    </xf>
    <xf numFmtId="0" fontId="35" fillId="0" borderId="0" xfId="0" applyFont="1" applyFill="1" applyAlignment="1">
      <alignment/>
    </xf>
    <xf numFmtId="172" fontId="35" fillId="0" borderId="0" xfId="69" applyNumberFormat="1" applyFont="1" applyFill="1" applyAlignment="1">
      <alignment vertical="center"/>
    </xf>
    <xf numFmtId="172" fontId="35" fillId="0" borderId="0" xfId="69" applyNumberFormat="1" applyFont="1" applyFill="1" applyAlignment="1">
      <alignment horizontal="right"/>
    </xf>
    <xf numFmtId="172" fontId="35" fillId="0" borderId="0" xfId="69" applyNumberFormat="1" applyFont="1" applyFill="1" applyBorder="1" applyAlignment="1">
      <alignment/>
    </xf>
    <xf numFmtId="172" fontId="71" fillId="0" borderId="0" xfId="69" applyNumberFormat="1" applyFont="1" applyFill="1" applyAlignment="1">
      <alignment horizontal="right"/>
    </xf>
    <xf numFmtId="40" fontId="35" fillId="0" borderId="0" xfId="50" applyNumberFormat="1" applyFont="1" applyFill="1">
      <alignment/>
      <protection/>
    </xf>
    <xf numFmtId="40" fontId="35" fillId="0" borderId="0" xfId="69" applyNumberFormat="1" applyFont="1" applyFill="1" applyAlignment="1">
      <alignment/>
    </xf>
    <xf numFmtId="38" fontId="35" fillId="0" borderId="0" xfId="50" applyNumberFormat="1" applyFont="1" applyFill="1">
      <alignment/>
      <protection/>
    </xf>
    <xf numFmtId="38" fontId="35" fillId="0" borderId="0" xfId="69" applyNumberFormat="1" applyFont="1" applyFill="1" applyAlignment="1">
      <alignment/>
    </xf>
    <xf numFmtId="38" fontId="35" fillId="0" borderId="0" xfId="50" applyNumberFormat="1" applyFont="1" applyFill="1" applyAlignment="1">
      <alignment horizontal="center"/>
      <protection/>
    </xf>
    <xf numFmtId="173" fontId="71" fillId="0" borderId="0" xfId="0" applyNumberFormat="1" applyFont="1" applyAlignment="1">
      <alignment horizontal="justify" vertical="center"/>
    </xf>
    <xf numFmtId="173" fontId="71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 vertical="center"/>
    </xf>
    <xf numFmtId="173" fontId="72" fillId="0" borderId="0" xfId="0" applyNumberFormat="1" applyFont="1" applyFill="1" applyAlignment="1">
      <alignment vertical="center" wrapText="1"/>
    </xf>
    <xf numFmtId="38" fontId="42" fillId="0" borderId="0" xfId="0" applyNumberFormat="1" applyFont="1" applyFill="1" applyAlignment="1">
      <alignment/>
    </xf>
    <xf numFmtId="38" fontId="42" fillId="0" borderId="22" xfId="0" applyNumberFormat="1" applyFont="1" applyFill="1" applyBorder="1" applyAlignment="1">
      <alignment/>
    </xf>
    <xf numFmtId="38" fontId="43" fillId="0" borderId="13" xfId="0" applyNumberFormat="1" applyFont="1" applyFill="1" applyBorder="1" applyAlignment="1">
      <alignment horizontal="centerContinuous" vertical="center"/>
    </xf>
    <xf numFmtId="38" fontId="43" fillId="0" borderId="24" xfId="0" applyNumberFormat="1" applyFont="1" applyFill="1" applyBorder="1" applyAlignment="1">
      <alignment horizontal="right"/>
    </xf>
    <xf numFmtId="38" fontId="43" fillId="33" borderId="24" xfId="0" applyNumberFormat="1" applyFont="1" applyFill="1" applyBorder="1" applyAlignment="1">
      <alignment horizontal="right"/>
    </xf>
    <xf numFmtId="38" fontId="43" fillId="0" borderId="0" xfId="0" applyNumberFormat="1" applyFont="1" applyFill="1" applyAlignment="1">
      <alignment/>
    </xf>
    <xf numFmtId="38" fontId="42" fillId="0" borderId="23" xfId="0" applyNumberFormat="1" applyFont="1" applyFill="1" applyBorder="1" applyAlignment="1">
      <alignment/>
    </xf>
    <xf numFmtId="38" fontId="43" fillId="34" borderId="24" xfId="0" applyNumberFormat="1" applyFont="1" applyFill="1" applyBorder="1" applyAlignment="1">
      <alignment horizontal="right"/>
    </xf>
    <xf numFmtId="38" fontId="43" fillId="15" borderId="24" xfId="0" applyNumberFormat="1" applyFont="1" applyFill="1" applyBorder="1" applyAlignment="1">
      <alignment horizontal="right"/>
    </xf>
    <xf numFmtId="38" fontId="43" fillId="0" borderId="0" xfId="0" applyNumberFormat="1" applyFont="1" applyFill="1" applyAlignment="1">
      <alignment/>
    </xf>
    <xf numFmtId="40" fontId="43" fillId="33" borderId="24" xfId="0" applyNumberFormat="1" applyFont="1" applyFill="1" applyBorder="1" applyAlignment="1">
      <alignment/>
    </xf>
    <xf numFmtId="3" fontId="36" fillId="0" borderId="17" xfId="69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/>
    </xf>
    <xf numFmtId="0" fontId="45" fillId="0" borderId="0" xfId="50" applyFont="1" applyFill="1" applyAlignment="1">
      <alignment/>
      <protection/>
    </xf>
    <xf numFmtId="38" fontId="45" fillId="0" borderId="0" xfId="50" applyNumberFormat="1" applyFont="1" applyFill="1" applyAlignment="1">
      <alignment/>
      <protection/>
    </xf>
    <xf numFmtId="0" fontId="83" fillId="0" borderId="0" xfId="0" applyFont="1" applyAlignment="1">
      <alignment/>
    </xf>
    <xf numFmtId="0" fontId="69" fillId="0" borderId="0" xfId="0" applyFont="1" applyAlignment="1">
      <alignment/>
    </xf>
    <xf numFmtId="0" fontId="84" fillId="0" borderId="25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3" fontId="85" fillId="0" borderId="0" xfId="0" applyNumberFormat="1" applyFont="1" applyAlignment="1">
      <alignment horizontal="right" vertical="center"/>
    </xf>
    <xf numFmtId="0" fontId="84" fillId="0" borderId="0" xfId="0" applyFont="1" applyAlignment="1">
      <alignment horizontal="justify" vertical="center"/>
    </xf>
    <xf numFmtId="3" fontId="84" fillId="0" borderId="26" xfId="0" applyNumberFormat="1" applyFont="1" applyBorder="1" applyAlignment="1">
      <alignment horizontal="right" vertical="center"/>
    </xf>
    <xf numFmtId="0" fontId="73" fillId="0" borderId="0" xfId="0" applyFont="1" applyFill="1" applyAlignment="1">
      <alignment vertical="center"/>
    </xf>
    <xf numFmtId="0" fontId="35" fillId="0" borderId="0" xfId="50" applyFont="1" applyFill="1" applyAlignment="1">
      <alignment horizontal="right"/>
      <protection/>
    </xf>
    <xf numFmtId="0" fontId="72" fillId="0" borderId="0" xfId="0" applyFont="1" applyFill="1" applyAlignment="1">
      <alignment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3 2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ítulo 5" xfId="66"/>
    <cellStyle name="Título 6" xfId="67"/>
    <cellStyle name="Total" xfId="68"/>
    <cellStyle name="Comma" xfId="69"/>
    <cellStyle name="Vírgula 2" xfId="70"/>
    <cellStyle name="Vírgula 2 2 2 2" xfId="71"/>
    <cellStyle name="Vírgula 3" xfId="72"/>
    <cellStyle name="Vírgula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77</xdr:row>
      <xdr:rowOff>9525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6391275" y="1547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cdf060\depec01$\boletim\2002\03\Bolport\BM1-97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8930\CONFIG~1\Temp\Diret&#243;rio%20tempor&#225;rio%201%20para%20LookIndoor1.zip\LookIndoo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16162\Apresenta&#231;&#245;es%20Institucionais%209741\Apresenta&#231;&#245;es%20Institucionais%209741\Banco%20do%20Brasil\Banco%20de%20Dados%20Georc\2002\Desope\Base%20Indicado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16162\Apresenta&#231;&#245;es%20Institucionais%209741\Apresenta&#231;&#245;es%20Institucionais%209741\Banco%20do%20Brasil\Painel\Dados%20Hist%20Cir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_nas3\DICOM\Superintend&#234;ncia%20de%20Publicidade\SUPUB\SUPUB\Desempenho%20de%20Publicidade\Desempenho%20de%20Publicidad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s1\Controla\Rel_Outros\BAL_BRGP_6_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inel\Dados%20Hist%20Cir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s1\Controla\TEMP\Ten%20yea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&#231;amento%202001\Pasta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16162\Apresenta&#231;&#245;es%20Institucionais%209741\Apresenta&#231;&#245;es%20Institucionais%209741\Banco%20do%20Brasil\Trabalhos%20Especiais\Or&#231;amento%202002\Circula&#231;&#227;o\VERS&#195;O%20FINAL\Or&#231;amento%202001%202812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L_BRGP_6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_nas3\RelatoriosDIFIN\temp\BALMAR9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s1\Superintendencia%20de%20Negocios\Administracao%20de%20Vendas\Relatorios\GerCanaisProprios\072012\LookIndoo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1120\Or&#231;amento%202005\Banco%20de%20Dados%20Georc\2003\Base%20Despesa%20Financeira%202003%20Vers&#227;o%20L&#233;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nco%20de%20Dados%20Georc\2002\Acomp%20Or&#231;am%20Base%2020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s1\Controla\windows\TEMP\MIRAS\MODELS\MODEL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nco%20de%20Dados%20Georc\Desope\Previa\Relat&#243;rio%20Pr&#233;via%20Desop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1123\Docs%20GEORC\Trabalhos%20Especiais\Or&#231;amento%202002\Circula&#231;&#227;o\VERS&#195;O%20FINAL\Or&#231;amento%202001%202812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mela.paz\Desktop\Balan&#231;o,%20DRE%20e%20DFC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nco%20de%20Dados%20Georc\2003\Base%20Despesa%20Financeira%202003%20Vers&#227;o%20L&#233;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s1\Superintendencia%20de%20Negocios\Administracao%20de%20Vendas\Relatorios\GerCanaisProprios\022012\LookIndo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930\Meus%20documentos\Auditoria%20Trevisan\Papeis\2010\DFP%20SACB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EMP\VIC3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-01"/>
      <sheetName val="TAB1-0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ainel"/>
      <sheetName val="BD1"/>
      <sheetName val="BD2"/>
      <sheetName val="BD3"/>
      <sheetName val="par"/>
      <sheetName val="rasc"/>
      <sheetName val="Config"/>
      <sheetName val="ajuste"/>
      <sheetName val="VALIDAÇÃO"/>
    </sheetNames>
    <sheetDataSet>
      <sheetData sheetId="7">
        <row r="15">
          <cell r="B15" t="str">
            <v>*</v>
          </cell>
        </row>
        <row r="20">
          <cell r="X20" t="str">
            <v>*</v>
          </cell>
        </row>
        <row r="21">
          <cell r="B21" t="str">
            <v>Faturado</v>
          </cell>
        </row>
        <row r="22">
          <cell r="B22" t="str">
            <v>Liberado</v>
          </cell>
        </row>
        <row r="23">
          <cell r="B23" t="str">
            <v>Fora da fila</v>
          </cell>
        </row>
        <row r="25">
          <cell r="H25" t="str">
            <v>*</v>
          </cell>
        </row>
        <row r="26">
          <cell r="D26" t="str">
            <v>*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Macro"/>
      <sheetName val="Inflação"/>
      <sheetName val="Inflação-BC"/>
      <sheetName val="TAB1-11p"/>
      <sheetName val="CâmbioBase"/>
      <sheetName val="Juros"/>
      <sheetName val="Libor"/>
    </sheetNames>
    <sheetDataSet>
      <sheetData sheetId="7">
        <row r="1">
          <cell r="A1" t="str">
            <v>Boletim do Banco Central do Brasil</v>
          </cell>
          <cell r="H1" t="str">
            <v>Março 2002</v>
          </cell>
        </row>
        <row r="3">
          <cell r="A3" t="str">
            <v>VI.1 - Taxas de juros</v>
          </cell>
        </row>
        <row r="4">
          <cell r="A4" t="str">
            <v>               Prime rate e Libor a 6 meses em diversas moedas1/</v>
          </cell>
        </row>
        <row r="6">
          <cell r="H6" t="str">
            <v>Em porcentagem ao ano</v>
          </cell>
        </row>
        <row r="7">
          <cell r="A7" t="str">
            <v>Média do período</v>
          </cell>
          <cell r="C7" t="str">
            <v>Prime rate</v>
          </cell>
          <cell r="D7" t="str">
            <v>Libor</v>
          </cell>
        </row>
        <row r="9">
          <cell r="D9" t="str">
            <v>Dólar</v>
          </cell>
          <cell r="F9" t="str">
            <v>Iene</v>
          </cell>
          <cell r="G9" t="str">
            <v>Marco</v>
          </cell>
          <cell r="H9" t="str">
            <v>Libra</v>
          </cell>
        </row>
        <row r="10">
          <cell r="D10" t="str">
            <v>americano</v>
          </cell>
          <cell r="G10" t="str">
            <v>alemão</v>
          </cell>
          <cell r="H10" t="str">
            <v>esterlina</v>
          </cell>
        </row>
        <row r="12">
          <cell r="A12">
            <v>2000</v>
          </cell>
          <cell r="B12" t="str">
            <v>Jan</v>
          </cell>
          <cell r="C12">
            <v>8.5</v>
          </cell>
          <cell r="D12">
            <v>6.21</v>
          </cell>
          <cell r="E12">
            <v>0.0621</v>
          </cell>
          <cell r="F12">
            <v>0.19</v>
          </cell>
          <cell r="G12">
            <v>3.56</v>
          </cell>
          <cell r="H12">
            <v>6.39</v>
          </cell>
        </row>
        <row r="13">
          <cell r="B13" t="str">
            <v>Fev</v>
          </cell>
          <cell r="C13">
            <v>8.73</v>
          </cell>
          <cell r="D13">
            <v>6.33</v>
          </cell>
          <cell r="E13">
            <v>0.0633</v>
          </cell>
          <cell r="F13">
            <v>0.16</v>
          </cell>
          <cell r="G13">
            <v>3.73</v>
          </cell>
          <cell r="H13">
            <v>6.42</v>
          </cell>
        </row>
        <row r="14">
          <cell r="B14" t="str">
            <v>Mar</v>
          </cell>
          <cell r="C14">
            <v>8.84</v>
          </cell>
          <cell r="D14">
            <v>6.41</v>
          </cell>
          <cell r="E14">
            <v>0.0641</v>
          </cell>
          <cell r="F14">
            <v>0.17</v>
          </cell>
          <cell r="G14">
            <v>3.93</v>
          </cell>
          <cell r="H14">
            <v>6.42</v>
          </cell>
        </row>
        <row r="15">
          <cell r="B15" t="str">
            <v>Abr</v>
          </cell>
          <cell r="C15">
            <v>9</v>
          </cell>
          <cell r="D15">
            <v>6.51</v>
          </cell>
          <cell r="E15">
            <v>0.06509999999999999</v>
          </cell>
          <cell r="F15">
            <v>0.16</v>
          </cell>
          <cell r="G15">
            <v>4.09</v>
          </cell>
          <cell r="H15">
            <v>6.47</v>
          </cell>
        </row>
        <row r="16">
          <cell r="B16" t="str">
            <v>Mai</v>
          </cell>
          <cell r="C16">
            <v>9.25</v>
          </cell>
          <cell r="D16">
            <v>6.98</v>
          </cell>
          <cell r="E16">
            <v>0.0698</v>
          </cell>
          <cell r="F16">
            <v>0.14</v>
          </cell>
          <cell r="G16">
            <v>4.54</v>
          </cell>
          <cell r="H16">
            <v>6.46</v>
          </cell>
        </row>
        <row r="17">
          <cell r="B17" t="str">
            <v>Jun</v>
          </cell>
          <cell r="C17">
            <v>9.5</v>
          </cell>
          <cell r="D17">
            <v>6.97</v>
          </cell>
          <cell r="E17">
            <v>0.0697</v>
          </cell>
          <cell r="F17">
            <v>0.19</v>
          </cell>
          <cell r="G17">
            <v>4.68</v>
          </cell>
          <cell r="H17">
            <v>6.36</v>
          </cell>
        </row>
        <row r="18">
          <cell r="B18" t="str">
            <v>Jan-Jun</v>
          </cell>
          <cell r="C18">
            <v>8.97</v>
          </cell>
          <cell r="D18">
            <v>6.5683333333333325</v>
          </cell>
          <cell r="E18">
            <v>0.06568333333333333</v>
          </cell>
          <cell r="F18">
            <v>0.16833333333333333</v>
          </cell>
          <cell r="G18">
            <v>4.088333333333334</v>
          </cell>
          <cell r="H18">
            <v>6.42</v>
          </cell>
        </row>
        <row r="19">
          <cell r="B19" t="str">
            <v>Jul</v>
          </cell>
          <cell r="C19">
            <v>9.5</v>
          </cell>
          <cell r="D19">
            <v>6.92</v>
          </cell>
          <cell r="E19">
            <v>0.0692</v>
          </cell>
          <cell r="F19">
            <v>0.3</v>
          </cell>
          <cell r="G19">
            <v>4.84</v>
          </cell>
          <cell r="H19">
            <v>6.31</v>
          </cell>
        </row>
        <row r="20">
          <cell r="B20" t="str">
            <v>Ago</v>
          </cell>
          <cell r="C20">
            <v>9.5</v>
          </cell>
          <cell r="D20">
            <v>6.84</v>
          </cell>
          <cell r="E20">
            <v>0.0684</v>
          </cell>
          <cell r="F20">
            <v>0.38</v>
          </cell>
          <cell r="G20">
            <v>5.01</v>
          </cell>
          <cell r="H20">
            <v>6.33</v>
          </cell>
        </row>
        <row r="21">
          <cell r="B21" t="str">
            <v>Set</v>
          </cell>
          <cell r="C21">
            <v>9.5</v>
          </cell>
          <cell r="D21">
            <v>6.77</v>
          </cell>
          <cell r="E21">
            <v>0.0677</v>
          </cell>
          <cell r="F21">
            <v>0.48</v>
          </cell>
          <cell r="G21">
            <v>5.04</v>
          </cell>
          <cell r="H21">
            <v>6.31</v>
          </cell>
        </row>
        <row r="22">
          <cell r="B22" t="str">
            <v>Out</v>
          </cell>
          <cell r="C22">
            <v>9.5</v>
          </cell>
          <cell r="D22">
            <v>6.73</v>
          </cell>
          <cell r="E22">
            <v>0.0673</v>
          </cell>
          <cell r="F22">
            <v>0.52</v>
          </cell>
          <cell r="G22">
            <v>5.11</v>
          </cell>
          <cell r="H22">
            <v>6.25</v>
          </cell>
        </row>
        <row r="23">
          <cell r="B23" t="str">
            <v>Nov</v>
          </cell>
          <cell r="C23">
            <v>9.5</v>
          </cell>
          <cell r="D23">
            <v>6.7</v>
          </cell>
          <cell r="E23">
            <v>0.067</v>
          </cell>
          <cell r="F23">
            <v>0.54</v>
          </cell>
          <cell r="G23">
            <v>5.13</v>
          </cell>
          <cell r="H23">
            <v>6.11</v>
          </cell>
        </row>
        <row r="24">
          <cell r="B24" t="str">
            <v>Dez</v>
          </cell>
          <cell r="C24">
            <v>9.5</v>
          </cell>
          <cell r="D24">
            <v>6.4</v>
          </cell>
          <cell r="E24">
            <v>0.064</v>
          </cell>
          <cell r="F24">
            <v>0.56</v>
          </cell>
          <cell r="G24">
            <v>4.92</v>
          </cell>
          <cell r="H24">
            <v>5.94</v>
          </cell>
        </row>
        <row r="25">
          <cell r="B25" t="str">
            <v>Jul-Dez</v>
          </cell>
          <cell r="C25">
            <v>9.5</v>
          </cell>
          <cell r="D25">
            <v>6.726666666666667</v>
          </cell>
          <cell r="E25">
            <v>0.06726666666666667</v>
          </cell>
          <cell r="F25">
            <v>0.4633333333333333</v>
          </cell>
          <cell r="G25">
            <v>5.008333333333333</v>
          </cell>
          <cell r="H25">
            <v>6.208333333333333</v>
          </cell>
        </row>
        <row r="26">
          <cell r="B26" t="str">
            <v>Ano</v>
          </cell>
          <cell r="C26">
            <v>9.235</v>
          </cell>
          <cell r="D26">
            <v>6.6475</v>
          </cell>
          <cell r="E26">
            <v>0.066475</v>
          </cell>
          <cell r="F26">
            <v>0.3158333333333333</v>
          </cell>
          <cell r="G26">
            <v>4.548333333333334</v>
          </cell>
          <cell r="H26">
            <v>6.314166666666666</v>
          </cell>
        </row>
        <row r="28">
          <cell r="A28">
            <v>2001</v>
          </cell>
          <cell r="B28" t="str">
            <v>Jan</v>
          </cell>
          <cell r="C28">
            <v>9.07</v>
          </cell>
          <cell r="D28">
            <v>5.54</v>
          </cell>
          <cell r="E28">
            <v>0.0554</v>
          </cell>
          <cell r="F28">
            <v>0.47</v>
          </cell>
          <cell r="G28">
            <v>4.67</v>
          </cell>
          <cell r="H28">
            <v>5.74</v>
          </cell>
        </row>
        <row r="29">
          <cell r="B29" t="str">
            <v>Fev</v>
          </cell>
          <cell r="C29">
            <v>8.5</v>
          </cell>
          <cell r="D29">
            <v>5.2</v>
          </cell>
          <cell r="E29">
            <v>0.052000000000000005</v>
          </cell>
          <cell r="F29">
            <v>0.38</v>
          </cell>
          <cell r="G29">
            <v>4.66</v>
          </cell>
          <cell r="H29">
            <v>5.65</v>
          </cell>
        </row>
        <row r="30">
          <cell r="B30" t="str">
            <v>Mar</v>
          </cell>
          <cell r="C30">
            <v>8.32</v>
          </cell>
          <cell r="D30">
            <v>4.81</v>
          </cell>
          <cell r="E30">
            <v>0.0481</v>
          </cell>
          <cell r="F30">
            <v>0.18</v>
          </cell>
          <cell r="G30">
            <v>4.53</v>
          </cell>
          <cell r="H30">
            <v>5.43</v>
          </cell>
        </row>
        <row r="31">
          <cell r="B31" t="str">
            <v>Abr</v>
          </cell>
          <cell r="C31">
            <v>7.82</v>
          </cell>
          <cell r="D31">
            <v>4.49</v>
          </cell>
          <cell r="E31">
            <v>0.0449</v>
          </cell>
          <cell r="F31">
            <v>0.11</v>
          </cell>
          <cell r="G31">
            <v>4.54</v>
          </cell>
          <cell r="H31">
            <v>5.3</v>
          </cell>
        </row>
        <row r="32">
          <cell r="B32" t="str">
            <v>Mai</v>
          </cell>
          <cell r="C32">
            <v>7.24</v>
          </cell>
          <cell r="D32">
            <v>4.09</v>
          </cell>
          <cell r="E32">
            <v>0.0409</v>
          </cell>
          <cell r="F32">
            <v>0.09</v>
          </cell>
          <cell r="G32">
            <v>4.56</v>
          </cell>
          <cell r="H32">
            <v>5.23</v>
          </cell>
        </row>
        <row r="33">
          <cell r="B33" t="str">
            <v>Jun</v>
          </cell>
          <cell r="C33">
            <v>6.98</v>
          </cell>
          <cell r="D33">
            <v>3.83</v>
          </cell>
          <cell r="E33">
            <v>0.0383</v>
          </cell>
          <cell r="F33">
            <v>0.08</v>
          </cell>
          <cell r="G33">
            <v>4.35</v>
          </cell>
          <cell r="H33">
            <v>5.35</v>
          </cell>
        </row>
        <row r="34">
          <cell r="B34" t="str">
            <v>Jan-Jun</v>
          </cell>
          <cell r="C34">
            <v>7.988333333333334</v>
          </cell>
          <cell r="D34">
            <v>4.66</v>
          </cell>
          <cell r="E34">
            <v>0.0466</v>
          </cell>
          <cell r="F34">
            <v>0.21833333333333338</v>
          </cell>
          <cell r="G34">
            <v>4.551666666666666</v>
          </cell>
          <cell r="H34">
            <v>5.45</v>
          </cell>
        </row>
        <row r="35">
          <cell r="B35" t="str">
            <v>Jul</v>
          </cell>
          <cell r="C35">
            <v>6.75</v>
          </cell>
          <cell r="D35">
            <v>3.79</v>
          </cell>
          <cell r="E35">
            <v>0.0379</v>
          </cell>
          <cell r="F35">
            <v>0.09</v>
          </cell>
          <cell r="G35">
            <v>4.38</v>
          </cell>
          <cell r="H35">
            <v>5.33</v>
          </cell>
        </row>
        <row r="36">
          <cell r="B36" t="str">
            <v>Ago</v>
          </cell>
          <cell r="C36">
            <v>6.66</v>
          </cell>
          <cell r="D36">
            <v>3.57</v>
          </cell>
          <cell r="E36">
            <v>0.035699999999999996</v>
          </cell>
          <cell r="F36">
            <v>0.09</v>
          </cell>
          <cell r="G36">
            <v>4.22</v>
          </cell>
          <cell r="H36">
            <v>5.01</v>
          </cell>
        </row>
        <row r="37">
          <cell r="B37" t="str">
            <v>Set</v>
          </cell>
          <cell r="C37">
            <v>6.28</v>
          </cell>
          <cell r="D37">
            <v>2.99</v>
          </cell>
          <cell r="E37">
            <v>0.029900000000000003</v>
          </cell>
          <cell r="F37">
            <v>0.08</v>
          </cell>
          <cell r="G37">
            <v>3.87</v>
          </cell>
          <cell r="H37">
            <v>4.65</v>
          </cell>
        </row>
        <row r="38">
          <cell r="B38" t="str">
            <v>Out</v>
          </cell>
          <cell r="C38">
            <v>5.54</v>
          </cell>
          <cell r="D38">
            <v>2.36</v>
          </cell>
          <cell r="E38">
            <v>0.0236</v>
          </cell>
          <cell r="F38">
            <v>0.09</v>
          </cell>
          <cell r="G38">
            <v>3.46</v>
          </cell>
          <cell r="H38">
            <v>4.39</v>
          </cell>
        </row>
        <row r="39">
          <cell r="B39" t="str">
            <v>Nov</v>
          </cell>
          <cell r="C39">
            <v>5.11</v>
          </cell>
          <cell r="D39">
            <v>2.1</v>
          </cell>
          <cell r="E39">
            <v>0.021</v>
          </cell>
          <cell r="F39">
            <v>0.09</v>
          </cell>
          <cell r="G39">
            <v>3.26</v>
          </cell>
          <cell r="H39">
            <v>4</v>
          </cell>
        </row>
        <row r="40">
          <cell r="B40" t="str">
            <v>Dez</v>
          </cell>
          <cell r="C40">
            <v>4.84</v>
          </cell>
          <cell r="D40">
            <v>1.99</v>
          </cell>
          <cell r="E40">
            <v>0.0199</v>
          </cell>
          <cell r="F40">
            <v>0.1</v>
          </cell>
          <cell r="G40">
            <v>3.26</v>
          </cell>
          <cell r="H40">
            <v>4.07</v>
          </cell>
        </row>
        <row r="41">
          <cell r="B41" t="str">
            <v>Jul-Dez</v>
          </cell>
          <cell r="C41">
            <v>5.863333333333333</v>
          </cell>
          <cell r="D41">
            <v>2.8</v>
          </cell>
          <cell r="E41">
            <v>0.027999999999999997</v>
          </cell>
          <cell r="F41">
            <v>0.09</v>
          </cell>
          <cell r="G41">
            <v>3.741666666666666</v>
          </cell>
          <cell r="H41">
            <v>4.575</v>
          </cell>
        </row>
        <row r="42">
          <cell r="B42" t="str">
            <v>Ano</v>
          </cell>
          <cell r="C42">
            <v>6.925833333333333</v>
          </cell>
          <cell r="D42">
            <v>3.73</v>
          </cell>
          <cell r="E42">
            <v>0.0373</v>
          </cell>
          <cell r="F42">
            <v>0.15416666666666667</v>
          </cell>
          <cell r="G42">
            <v>4.146666666666666</v>
          </cell>
          <cell r="H42">
            <v>5.0125</v>
          </cell>
        </row>
        <row r="44">
          <cell r="A44">
            <v>2002</v>
          </cell>
          <cell r="B44" t="str">
            <v>Jan</v>
          </cell>
          <cell r="C44">
            <v>4.75</v>
          </cell>
          <cell r="D44">
            <v>1.93</v>
          </cell>
          <cell r="E44">
            <v>0.019299999999999998</v>
          </cell>
          <cell r="F44">
            <v>0.1</v>
          </cell>
          <cell r="G44">
            <v>3.34</v>
          </cell>
          <cell r="H44">
            <v>4.15</v>
          </cell>
        </row>
        <row r="47">
          <cell r="A47" t="str">
            <v>1/ Taxas apuradas com base no boletim diário de juros do Banco Central do Brasil.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 Circ Tot"/>
      <sheetName val="D Dia Circ"/>
      <sheetName val="D Circ Dia"/>
      <sheetName val="D Circ Reg"/>
      <sheetName val="D As Prod"/>
      <sheetName val="D As Reg"/>
      <sheetName val="D As Fpag"/>
      <sheetName val="D Giro"/>
      <sheetName val="Renov"/>
      <sheetName val="As Can"/>
      <sheetName val="D VA DS"/>
      <sheetName val="D VA Reg"/>
      <sheetName val="Circ BR"/>
      <sheetName val="Circ Prod BR"/>
      <sheetName val="Circ Dias BR"/>
      <sheetName val="Evol Circ BSB"/>
      <sheetName val="Evol Circ DS BSB"/>
      <sheetName val="IVC Comp Circ BSB"/>
      <sheetName val="IVC Comp Circ DS BSB"/>
      <sheetName val="Jorn BSB"/>
      <sheetName val="Ind Rec"/>
      <sheetName val="Evol % Mot Cancel"/>
      <sheetName val="D As Prod (2)"/>
      <sheetName val="D As Reg (2)"/>
      <sheetName val="D As Fpag (2)"/>
      <sheetName val="D Giro-Renov"/>
      <sheetName val="D Vend Can"/>
      <sheetName val="As Reg (2)"/>
      <sheetName val="As Fpag (2)"/>
      <sheetName val="#REF"/>
    </sheetNames>
    <sheetDataSet>
      <sheetData sheetId="0">
        <row r="1">
          <cell r="A1" t="str">
            <v>1. Dados de Circulação Total (As, VA e Tot)</v>
          </cell>
        </row>
        <row r="3">
          <cell r="A3" t="str">
            <v>1.1. Circulação</v>
          </cell>
        </row>
        <row r="5">
          <cell r="A5" t="str">
            <v>Mês</v>
          </cell>
        </row>
        <row r="6">
          <cell r="A6">
            <v>33970</v>
          </cell>
        </row>
        <row r="7">
          <cell r="A7">
            <v>34001</v>
          </cell>
          <cell r="F7" t="str">
            <v>-</v>
          </cell>
          <cell r="G7">
            <v>0.126</v>
          </cell>
        </row>
        <row r="8">
          <cell r="A8">
            <v>34029</v>
          </cell>
          <cell r="F8" t="str">
            <v>-</v>
          </cell>
          <cell r="G8">
            <v>0.126</v>
          </cell>
        </row>
        <row r="9">
          <cell r="A9">
            <v>34060</v>
          </cell>
          <cell r="F9" t="str">
            <v>-</v>
          </cell>
          <cell r="G9">
            <v>0.126</v>
          </cell>
        </row>
        <row r="10">
          <cell r="A10">
            <v>34090</v>
          </cell>
          <cell r="F10" t="str">
            <v>-</v>
          </cell>
          <cell r="G10">
            <v>0.126</v>
          </cell>
        </row>
        <row r="11">
          <cell r="A11">
            <v>34121</v>
          </cell>
          <cell r="F11" t="str">
            <v>-</v>
          </cell>
          <cell r="G11">
            <v>0.126</v>
          </cell>
        </row>
        <row r="12">
          <cell r="A12">
            <v>34151</v>
          </cell>
          <cell r="F12" t="str">
            <v>-</v>
          </cell>
          <cell r="G12">
            <v>0.126</v>
          </cell>
        </row>
        <row r="13">
          <cell r="A13">
            <v>34182</v>
          </cell>
          <cell r="F13" t="str">
            <v>-</v>
          </cell>
          <cell r="G13">
            <v>0.126</v>
          </cell>
        </row>
        <row r="14">
          <cell r="A14">
            <v>34213</v>
          </cell>
          <cell r="F14" t="str">
            <v>-</v>
          </cell>
          <cell r="G14">
            <v>0.126</v>
          </cell>
        </row>
        <row r="15">
          <cell r="A15">
            <v>34243</v>
          </cell>
          <cell r="F15" t="str">
            <v>-</v>
          </cell>
          <cell r="G15">
            <v>0.126</v>
          </cell>
        </row>
        <row r="16">
          <cell r="A16">
            <v>34274</v>
          </cell>
          <cell r="F16" t="str">
            <v>-</v>
          </cell>
          <cell r="G16">
            <v>0.126</v>
          </cell>
        </row>
        <row r="17">
          <cell r="A17">
            <v>34304</v>
          </cell>
          <cell r="F17" t="str">
            <v>-</v>
          </cell>
          <cell r="G17">
            <v>0.126</v>
          </cell>
        </row>
        <row r="18">
          <cell r="A18">
            <v>34335</v>
          </cell>
          <cell r="F18" t="str">
            <v>-</v>
          </cell>
          <cell r="G18">
            <v>0.126</v>
          </cell>
        </row>
        <row r="19">
          <cell r="A19">
            <v>34366</v>
          </cell>
          <cell r="F19" t="str">
            <v>-</v>
          </cell>
          <cell r="G19">
            <v>0.126</v>
          </cell>
        </row>
        <row r="20">
          <cell r="A20">
            <v>34394</v>
          </cell>
          <cell r="F20" t="str">
            <v>-</v>
          </cell>
          <cell r="G20">
            <v>0.126</v>
          </cell>
        </row>
        <row r="21">
          <cell r="A21">
            <v>34425</v>
          </cell>
          <cell r="F21" t="str">
            <v>-</v>
          </cell>
          <cell r="G21">
            <v>0.126</v>
          </cell>
        </row>
        <row r="22">
          <cell r="A22">
            <v>34455</v>
          </cell>
          <cell r="F22" t="str">
            <v>-</v>
          </cell>
          <cell r="G22">
            <v>0.126</v>
          </cell>
        </row>
        <row r="23">
          <cell r="A23">
            <v>34486</v>
          </cell>
          <cell r="F23" t="str">
            <v>-</v>
          </cell>
          <cell r="G23">
            <v>0.126</v>
          </cell>
        </row>
        <row r="24">
          <cell r="A24">
            <v>34516</v>
          </cell>
          <cell r="F24" t="str">
            <v>-</v>
          </cell>
          <cell r="G24">
            <v>0.126</v>
          </cell>
        </row>
        <row r="25">
          <cell r="A25">
            <v>34547</v>
          </cell>
          <cell r="F25" t="str">
            <v>-</v>
          </cell>
          <cell r="G25">
            <v>0.126</v>
          </cell>
        </row>
        <row r="26">
          <cell r="A26">
            <v>34578</v>
          </cell>
          <cell r="F26" t="str">
            <v>-</v>
          </cell>
          <cell r="G26">
            <v>0.126</v>
          </cell>
        </row>
        <row r="27">
          <cell r="A27">
            <v>34608</v>
          </cell>
          <cell r="F27" t="str">
            <v>-</v>
          </cell>
          <cell r="G27">
            <v>0.126</v>
          </cell>
        </row>
        <row r="28">
          <cell r="A28">
            <v>34639</v>
          </cell>
          <cell r="F28" t="str">
            <v>-</v>
          </cell>
          <cell r="G28">
            <v>0.126</v>
          </cell>
        </row>
        <row r="29">
          <cell r="A29">
            <v>34669</v>
          </cell>
          <cell r="F29" t="str">
            <v>-</v>
          </cell>
          <cell r="G29">
            <v>0.126</v>
          </cell>
        </row>
        <row r="30">
          <cell r="A30">
            <v>34700</v>
          </cell>
          <cell r="F30" t="str">
            <v>-</v>
          </cell>
          <cell r="G30">
            <v>0.126</v>
          </cell>
        </row>
        <row r="31">
          <cell r="A31">
            <v>34731</v>
          </cell>
          <cell r="F31" t="str">
            <v>-</v>
          </cell>
          <cell r="G31">
            <v>0.126</v>
          </cell>
        </row>
        <row r="32">
          <cell r="A32">
            <v>34759</v>
          </cell>
          <cell r="F32" t="str">
            <v>-</v>
          </cell>
          <cell r="G32">
            <v>0.126</v>
          </cell>
        </row>
        <row r="33">
          <cell r="A33">
            <v>34790</v>
          </cell>
          <cell r="F33" t="str">
            <v>-</v>
          </cell>
          <cell r="G33">
            <v>0.126</v>
          </cell>
        </row>
        <row r="34">
          <cell r="A34">
            <v>34820</v>
          </cell>
          <cell r="F34" t="str">
            <v>-</v>
          </cell>
          <cell r="G34">
            <v>0.126</v>
          </cell>
        </row>
        <row r="35">
          <cell r="A35">
            <v>34851</v>
          </cell>
          <cell r="F35" t="str">
            <v>-</v>
          </cell>
          <cell r="G35">
            <v>0.126</v>
          </cell>
        </row>
        <row r="36">
          <cell r="A36">
            <v>34881</v>
          </cell>
          <cell r="F36" t="str">
            <v>-</v>
          </cell>
          <cell r="G36">
            <v>0.126</v>
          </cell>
        </row>
        <row r="37">
          <cell r="A37">
            <v>34912</v>
          </cell>
          <cell r="F37" t="str">
            <v>-</v>
          </cell>
          <cell r="G37">
            <v>0.126</v>
          </cell>
        </row>
        <row r="38">
          <cell r="A38">
            <v>34943</v>
          </cell>
          <cell r="F38" t="str">
            <v>-</v>
          </cell>
          <cell r="G38">
            <v>0.126</v>
          </cell>
        </row>
        <row r="39">
          <cell r="A39">
            <v>34973</v>
          </cell>
          <cell r="F39" t="str">
            <v>-</v>
          </cell>
          <cell r="G39">
            <v>0.126</v>
          </cell>
        </row>
        <row r="40">
          <cell r="A40">
            <v>35004</v>
          </cell>
          <cell r="F40" t="str">
            <v>-</v>
          </cell>
          <cell r="G40">
            <v>0.126</v>
          </cell>
        </row>
        <row r="41">
          <cell r="A41">
            <v>35034</v>
          </cell>
          <cell r="F41" t="str">
            <v>-</v>
          </cell>
          <cell r="G41">
            <v>0.126</v>
          </cell>
        </row>
        <row r="42">
          <cell r="A42">
            <v>35065</v>
          </cell>
          <cell r="F42" t="str">
            <v>-</v>
          </cell>
          <cell r="G42">
            <v>0.126</v>
          </cell>
        </row>
        <row r="43">
          <cell r="A43">
            <v>35096</v>
          </cell>
          <cell r="F43" t="str">
            <v>-</v>
          </cell>
          <cell r="G43">
            <v>0.126</v>
          </cell>
        </row>
        <row r="44">
          <cell r="A44">
            <v>35125</v>
          </cell>
          <cell r="F44" t="str">
            <v>-</v>
          </cell>
          <cell r="G44">
            <v>0.126</v>
          </cell>
        </row>
        <row r="45">
          <cell r="A45">
            <v>35156</v>
          </cell>
          <cell r="F45" t="str">
            <v>-</v>
          </cell>
          <cell r="G45">
            <v>0.126</v>
          </cell>
        </row>
        <row r="46">
          <cell r="A46">
            <v>35186</v>
          </cell>
          <cell r="F46" t="str">
            <v>-</v>
          </cell>
          <cell r="G46">
            <v>0.126</v>
          </cell>
        </row>
        <row r="47">
          <cell r="A47">
            <v>35217</v>
          </cell>
          <cell r="F47" t="str">
            <v>-</v>
          </cell>
          <cell r="G47">
            <v>0.126</v>
          </cell>
        </row>
        <row r="48">
          <cell r="A48">
            <v>35247</v>
          </cell>
          <cell r="F48" t="str">
            <v>-</v>
          </cell>
          <cell r="G48">
            <v>0.126</v>
          </cell>
        </row>
        <row r="49">
          <cell r="A49">
            <v>35278</v>
          </cell>
          <cell r="F49" t="str">
            <v>-</v>
          </cell>
          <cell r="G49">
            <v>0.126</v>
          </cell>
        </row>
        <row r="50">
          <cell r="A50">
            <v>35309</v>
          </cell>
          <cell r="F50" t="str">
            <v>-</v>
          </cell>
          <cell r="G50">
            <v>0.126</v>
          </cell>
        </row>
        <row r="51">
          <cell r="A51">
            <v>35339</v>
          </cell>
          <cell r="F51" t="str">
            <v>-</v>
          </cell>
          <cell r="G51">
            <v>0.126</v>
          </cell>
        </row>
        <row r="52">
          <cell r="A52">
            <v>35370</v>
          </cell>
          <cell r="F52" t="str">
            <v>-</v>
          </cell>
          <cell r="G52">
            <v>0.126</v>
          </cell>
        </row>
        <row r="53">
          <cell r="A53">
            <v>35400</v>
          </cell>
          <cell r="F53" t="str">
            <v>-</v>
          </cell>
          <cell r="G53">
            <v>0.126</v>
          </cell>
        </row>
        <row r="54">
          <cell r="A54">
            <v>35431</v>
          </cell>
          <cell r="F54">
            <v>0.10151915165055853</v>
          </cell>
          <cell r="G54">
            <v>0.126</v>
          </cell>
        </row>
        <row r="55">
          <cell r="A55">
            <v>35462</v>
          </cell>
          <cell r="F55">
            <v>0.10901264142156164</v>
          </cell>
          <cell r="G55">
            <v>0.126</v>
          </cell>
        </row>
        <row r="56">
          <cell r="A56">
            <v>35490</v>
          </cell>
          <cell r="F56">
            <v>0.12387287260477377</v>
          </cell>
          <cell r="G56">
            <v>0.126</v>
          </cell>
        </row>
        <row r="57">
          <cell r="A57">
            <v>35521</v>
          </cell>
          <cell r="F57">
            <v>0.11245426298078272</v>
          </cell>
          <cell r="G57">
            <v>0.126</v>
          </cell>
        </row>
        <row r="58">
          <cell r="A58">
            <v>35551</v>
          </cell>
          <cell r="F58">
            <v>0.1435422231825243</v>
          </cell>
          <cell r="G58">
            <v>0.126</v>
          </cell>
        </row>
        <row r="59">
          <cell r="A59">
            <v>35582</v>
          </cell>
          <cell r="F59">
            <v>0.11980738623670016</v>
          </cell>
          <cell r="G59">
            <v>0.126</v>
          </cell>
        </row>
        <row r="60">
          <cell r="A60">
            <v>35612</v>
          </cell>
          <cell r="F60">
            <v>0.10881852675650923</v>
          </cell>
          <cell r="G60">
            <v>0.126</v>
          </cell>
        </row>
        <row r="61">
          <cell r="A61">
            <v>35643</v>
          </cell>
          <cell r="F61">
            <v>0.12706327360655442</v>
          </cell>
          <cell r="G61">
            <v>0.126</v>
          </cell>
        </row>
        <row r="62">
          <cell r="A62">
            <v>35674</v>
          </cell>
          <cell r="F62">
            <v>0.10051100035319462</v>
          </cell>
          <cell r="G62">
            <v>0.126</v>
          </cell>
        </row>
        <row r="63">
          <cell r="A63">
            <v>35704</v>
          </cell>
        </row>
        <row r="64">
          <cell r="A64">
            <v>35735</v>
          </cell>
        </row>
        <row r="65">
          <cell r="A65">
            <v>35765</v>
          </cell>
        </row>
        <row r="66">
          <cell r="A66">
            <v>35796</v>
          </cell>
        </row>
        <row r="67">
          <cell r="A67">
            <v>35827</v>
          </cell>
        </row>
        <row r="68">
          <cell r="A68">
            <v>35855</v>
          </cell>
        </row>
        <row r="69">
          <cell r="A69">
            <v>35886</v>
          </cell>
        </row>
        <row r="70">
          <cell r="A70">
            <v>35916</v>
          </cell>
        </row>
        <row r="71">
          <cell r="A71">
            <v>35947</v>
          </cell>
        </row>
        <row r="72">
          <cell r="A72">
            <v>35977</v>
          </cell>
        </row>
        <row r="73">
          <cell r="A73">
            <v>36008</v>
          </cell>
        </row>
        <row r="74">
          <cell r="A74">
            <v>36039</v>
          </cell>
        </row>
        <row r="75">
          <cell r="A75">
            <v>36069</v>
          </cell>
        </row>
        <row r="76">
          <cell r="A76">
            <v>36100</v>
          </cell>
        </row>
        <row r="77">
          <cell r="A77">
            <v>36130</v>
          </cell>
        </row>
        <row r="78">
          <cell r="A78">
            <v>36161</v>
          </cell>
        </row>
        <row r="79">
          <cell r="A79">
            <v>36192</v>
          </cell>
        </row>
        <row r="80">
          <cell r="A80">
            <v>36220</v>
          </cell>
        </row>
        <row r="81">
          <cell r="A81">
            <v>36251</v>
          </cell>
        </row>
        <row r="82">
          <cell r="A82">
            <v>36281</v>
          </cell>
        </row>
        <row r="83">
          <cell r="A83">
            <v>36312</v>
          </cell>
        </row>
        <row r="84">
          <cell r="A84">
            <v>36342</v>
          </cell>
        </row>
        <row r="85">
          <cell r="A85">
            <v>36373</v>
          </cell>
        </row>
        <row r="86">
          <cell r="A86">
            <v>36404</v>
          </cell>
        </row>
        <row r="87">
          <cell r="A87">
            <v>36434</v>
          </cell>
        </row>
        <row r="88">
          <cell r="A88">
            <v>36465</v>
          </cell>
        </row>
        <row r="89">
          <cell r="A89">
            <v>36495</v>
          </cell>
        </row>
        <row r="90">
          <cell r="A90">
            <v>36526</v>
          </cell>
        </row>
        <row r="91">
          <cell r="A91">
            <v>36557</v>
          </cell>
        </row>
        <row r="92">
          <cell r="A92">
            <v>36586</v>
          </cell>
        </row>
        <row r="93">
          <cell r="A93">
            <v>36617</v>
          </cell>
        </row>
        <row r="94">
          <cell r="A94">
            <v>36647</v>
          </cell>
        </row>
        <row r="95">
          <cell r="A95">
            <v>36678</v>
          </cell>
        </row>
        <row r="96">
          <cell r="A96">
            <v>36708</v>
          </cell>
        </row>
        <row r="97">
          <cell r="A97">
            <v>36739</v>
          </cell>
        </row>
        <row r="98">
          <cell r="A98">
            <v>36770</v>
          </cell>
        </row>
        <row r="99">
          <cell r="A99">
            <v>36800</v>
          </cell>
        </row>
        <row r="100">
          <cell r="A100">
            <v>36831</v>
          </cell>
        </row>
        <row r="101">
          <cell r="A101">
            <v>36861</v>
          </cell>
        </row>
        <row r="102">
          <cell r="A102">
            <v>36892</v>
          </cell>
        </row>
        <row r="103">
          <cell r="A103">
            <v>36923</v>
          </cell>
        </row>
        <row r="104">
          <cell r="A104">
            <v>36951</v>
          </cell>
        </row>
        <row r="105">
          <cell r="A105">
            <v>36982</v>
          </cell>
        </row>
        <row r="106">
          <cell r="A106">
            <v>37012</v>
          </cell>
        </row>
        <row r="107">
          <cell r="A107">
            <v>37043</v>
          </cell>
        </row>
        <row r="108">
          <cell r="A108">
            <v>37073</v>
          </cell>
        </row>
        <row r="109">
          <cell r="A109">
            <v>37104</v>
          </cell>
        </row>
        <row r="110">
          <cell r="A110">
            <v>37135</v>
          </cell>
        </row>
        <row r="111">
          <cell r="A111">
            <v>37165</v>
          </cell>
        </row>
        <row r="112">
          <cell r="A112">
            <v>37196</v>
          </cell>
        </row>
        <row r="113">
          <cell r="A113">
            <v>37226</v>
          </cell>
        </row>
        <row r="114">
          <cell r="A114">
            <v>37257</v>
          </cell>
        </row>
        <row r="115">
          <cell r="A115">
            <v>37288</v>
          </cell>
        </row>
        <row r="116">
          <cell r="A116">
            <v>37316</v>
          </cell>
        </row>
        <row r="117">
          <cell r="A117">
            <v>37347</v>
          </cell>
        </row>
        <row r="118">
          <cell r="A118">
            <v>37377</v>
          </cell>
        </row>
        <row r="119">
          <cell r="A119">
            <v>37408</v>
          </cell>
        </row>
        <row r="120">
          <cell r="A120">
            <v>37438</v>
          </cell>
        </row>
        <row r="121">
          <cell r="A121">
            <v>37469</v>
          </cell>
        </row>
        <row r="122">
          <cell r="A122">
            <v>37500</v>
          </cell>
        </row>
        <row r="123">
          <cell r="A123">
            <v>37530</v>
          </cell>
        </row>
        <row r="124">
          <cell r="A124">
            <v>37561</v>
          </cell>
        </row>
        <row r="125">
          <cell r="A125">
            <v>37591</v>
          </cell>
        </row>
        <row r="126">
          <cell r="A126">
            <v>37622</v>
          </cell>
        </row>
        <row r="127">
          <cell r="A127">
            <v>37653</v>
          </cell>
        </row>
        <row r="128">
          <cell r="A128">
            <v>37681</v>
          </cell>
        </row>
        <row r="129">
          <cell r="A129">
            <v>37712</v>
          </cell>
        </row>
        <row r="130">
          <cell r="A130">
            <v>37742</v>
          </cell>
        </row>
        <row r="131">
          <cell r="A131">
            <v>37773</v>
          </cell>
        </row>
        <row r="132">
          <cell r="A132">
            <v>37803</v>
          </cell>
        </row>
        <row r="133">
          <cell r="A133">
            <v>37834</v>
          </cell>
        </row>
        <row r="134">
          <cell r="A134">
            <v>37865</v>
          </cell>
        </row>
        <row r="135">
          <cell r="A135">
            <v>37895</v>
          </cell>
        </row>
        <row r="136">
          <cell r="A136">
            <v>37926</v>
          </cell>
        </row>
        <row r="137">
          <cell r="A137">
            <v>37956</v>
          </cell>
        </row>
        <row r="138">
          <cell r="A138">
            <v>37987</v>
          </cell>
        </row>
        <row r="139">
          <cell r="A139">
            <v>38018</v>
          </cell>
        </row>
        <row r="140">
          <cell r="A140">
            <v>38047</v>
          </cell>
        </row>
        <row r="141">
          <cell r="A141">
            <v>38078</v>
          </cell>
        </row>
        <row r="142">
          <cell r="A142">
            <v>38108</v>
          </cell>
        </row>
        <row r="143">
          <cell r="A143">
            <v>38139</v>
          </cell>
        </row>
        <row r="144">
          <cell r="A144">
            <v>38169</v>
          </cell>
        </row>
        <row r="145">
          <cell r="A145">
            <v>38200</v>
          </cell>
        </row>
        <row r="146">
          <cell r="A146">
            <v>38231</v>
          </cell>
        </row>
        <row r="147">
          <cell r="A147">
            <v>35582</v>
          </cell>
        </row>
        <row r="148">
          <cell r="A148" t="str">
            <v>1.1.1. Evolução Anual (CGAR)</v>
          </cell>
        </row>
        <row r="149">
          <cell r="A149">
            <v>35643</v>
          </cell>
        </row>
        <row r="150">
          <cell r="A150" t="str">
            <v>Ano</v>
          </cell>
        </row>
        <row r="151">
          <cell r="A151" t="str">
            <v>1993</v>
          </cell>
        </row>
        <row r="152">
          <cell r="A152" t="str">
            <v>1994</v>
          </cell>
        </row>
        <row r="153">
          <cell r="A153" t="str">
            <v>1995</v>
          </cell>
        </row>
        <row r="154">
          <cell r="A154" t="str">
            <v>1996</v>
          </cell>
        </row>
        <row r="155">
          <cell r="A155" t="str">
            <v>1997</v>
          </cell>
        </row>
        <row r="156">
          <cell r="A156" t="str">
            <v>1998</v>
          </cell>
        </row>
        <row r="157">
          <cell r="A157" t="str">
            <v>1999</v>
          </cell>
        </row>
        <row r="158">
          <cell r="A158" t="str">
            <v>2000</v>
          </cell>
        </row>
        <row r="159">
          <cell r="A159" t="str">
            <v>2001</v>
          </cell>
        </row>
        <row r="160">
          <cell r="A160" t="str">
            <v>2002</v>
          </cell>
        </row>
        <row r="161">
          <cell r="A161" t="str">
            <v>2003</v>
          </cell>
        </row>
        <row r="162">
          <cell r="A162" t="str">
            <v>CGAR</v>
          </cell>
        </row>
        <row r="163">
          <cell r="A163" t="str">
            <v>Nov/97 - Out/98</v>
          </cell>
        </row>
        <row r="164">
          <cell r="A164">
            <v>37987</v>
          </cell>
        </row>
        <row r="165">
          <cell r="A165" t="str">
            <v>Jan/98 - Dez/98</v>
          </cell>
        </row>
        <row r="166">
          <cell r="A166" t="str">
            <v>Fev/98 - Jan/99</v>
          </cell>
        </row>
        <row r="167">
          <cell r="A167" t="str">
            <v>1.1.2. Comparativos Mês x Mês</v>
          </cell>
        </row>
        <row r="168">
          <cell r="A168" t="str">
            <v>Abr/98 - Mar/99</v>
          </cell>
        </row>
        <row r="169">
          <cell r="A169" t="str">
            <v>Período</v>
          </cell>
        </row>
        <row r="170">
          <cell r="A170" t="str">
            <v>Jun/04 x Mai/04</v>
          </cell>
        </row>
        <row r="171">
          <cell r="A171" t="str">
            <v>Jun/04 x Jun/03</v>
          </cell>
        </row>
        <row r="172">
          <cell r="A172" t="str">
            <v>Ago/98 - Jul/99</v>
          </cell>
        </row>
        <row r="173">
          <cell r="A173" t="str">
            <v>Set/98 - Ago/99</v>
          </cell>
        </row>
        <row r="174">
          <cell r="A174" t="str">
            <v>1.1.3. Comparativo do Acumulado no Período</v>
          </cell>
        </row>
        <row r="175">
          <cell r="A175" t="str">
            <v>Nov/98 - Out/99</v>
          </cell>
        </row>
        <row r="176">
          <cell r="A176" t="str">
            <v>Período</v>
          </cell>
        </row>
        <row r="177">
          <cell r="A177" t="str">
            <v>jul-jun/03</v>
          </cell>
        </row>
        <row r="178">
          <cell r="A178" t="str">
            <v>jul-jun/04</v>
          </cell>
        </row>
        <row r="179">
          <cell r="A179" t="str">
            <v>jul-jun/03 x 04</v>
          </cell>
        </row>
        <row r="180">
          <cell r="A180" t="str">
            <v>Abr/99 - Mar/00</v>
          </cell>
        </row>
        <row r="181">
          <cell r="A181" t="str">
            <v>Mai/99 - Abr/00</v>
          </cell>
        </row>
        <row r="182">
          <cell r="A182" t="str">
            <v>1.2. Evolução da Média Móvel de Circulação Paga</v>
          </cell>
        </row>
        <row r="183">
          <cell r="A183" t="str">
            <v>Jul/99 - Jun/00</v>
          </cell>
        </row>
        <row r="184">
          <cell r="A184" t="str">
            <v>Período</v>
          </cell>
        </row>
        <row r="185">
          <cell r="A185">
            <v>35431</v>
          </cell>
        </row>
        <row r="186">
          <cell r="A186">
            <v>35462</v>
          </cell>
        </row>
        <row r="187">
          <cell r="A187">
            <v>35490</v>
          </cell>
        </row>
        <row r="188">
          <cell r="A188">
            <v>35521</v>
          </cell>
        </row>
        <row r="189">
          <cell r="A189">
            <v>35551</v>
          </cell>
        </row>
        <row r="190">
          <cell r="A190">
            <v>35582</v>
          </cell>
        </row>
        <row r="191">
          <cell r="A191">
            <v>35612</v>
          </cell>
        </row>
        <row r="192">
          <cell r="A192">
            <v>35643</v>
          </cell>
        </row>
        <row r="193">
          <cell r="A193">
            <v>35674</v>
          </cell>
        </row>
        <row r="194">
          <cell r="A194">
            <v>35704</v>
          </cell>
        </row>
        <row r="195">
          <cell r="A195">
            <v>35735</v>
          </cell>
        </row>
        <row r="196">
          <cell r="A196">
            <v>35765</v>
          </cell>
        </row>
        <row r="197">
          <cell r="A197" t="str">
            <v>Fev/97 - Jan/98</v>
          </cell>
        </row>
        <row r="198">
          <cell r="A198" t="str">
            <v>Mar/97 - Fev/98</v>
          </cell>
        </row>
        <row r="199">
          <cell r="A199" t="str">
            <v>Abr/97 - Mar/98</v>
          </cell>
        </row>
        <row r="200">
          <cell r="A200" t="str">
            <v>Mai/97 - Abr/98</v>
          </cell>
        </row>
        <row r="201">
          <cell r="A201" t="str">
            <v>Jun/97 - Mai/98</v>
          </cell>
        </row>
        <row r="202">
          <cell r="A202" t="str">
            <v>Jul/97 - Jun/98</v>
          </cell>
        </row>
        <row r="203">
          <cell r="A203" t="str">
            <v>Ago/97 - Jul/98</v>
          </cell>
        </row>
        <row r="204">
          <cell r="A204" t="str">
            <v>Set/97 - Ago/98</v>
          </cell>
        </row>
        <row r="205">
          <cell r="A205" t="str">
            <v>Out/97 - Set/98</v>
          </cell>
        </row>
        <row r="206">
          <cell r="A206" t="str">
            <v>Nov/97 - Out/98</v>
          </cell>
        </row>
        <row r="207">
          <cell r="A207" t="str">
            <v>Dez/97 - Nov/98</v>
          </cell>
        </row>
        <row r="208">
          <cell r="A208" t="str">
            <v>Jan/98 - Dez/98</v>
          </cell>
        </row>
        <row r="209">
          <cell r="A209" t="str">
            <v>Fev/98 - Jan/99</v>
          </cell>
        </row>
        <row r="210">
          <cell r="A210" t="str">
            <v>Mar/98 - Fev/99</v>
          </cell>
        </row>
        <row r="211">
          <cell r="A211" t="str">
            <v>Abr/98 - Mar/99</v>
          </cell>
        </row>
        <row r="212">
          <cell r="A212" t="str">
            <v>Mai/98 - Abr/99</v>
          </cell>
        </row>
        <row r="213">
          <cell r="A213" t="str">
            <v>Jun/98 - Mai/99</v>
          </cell>
        </row>
        <row r="214">
          <cell r="A214" t="str">
            <v>Jul/98 - Jun/99</v>
          </cell>
        </row>
        <row r="215">
          <cell r="A215" t="str">
            <v>Ago/98 - Jul/99</v>
          </cell>
        </row>
        <row r="216">
          <cell r="A216" t="str">
            <v>Set/98 - Ago/99</v>
          </cell>
        </row>
        <row r="217">
          <cell r="A217" t="str">
            <v>Out/98 - Set/99</v>
          </cell>
        </row>
        <row r="218">
          <cell r="A218" t="str">
            <v>Nov/98 - Out/99</v>
          </cell>
        </row>
        <row r="219">
          <cell r="A219" t="str">
            <v>Dez/98 - Nov/99</v>
          </cell>
        </row>
        <row r="220">
          <cell r="A220" t="str">
            <v>Jan/99 - Dez/99</v>
          </cell>
        </row>
        <row r="221">
          <cell r="A221" t="str">
            <v>Fev/99 - Jan/00</v>
          </cell>
        </row>
        <row r="222">
          <cell r="A222" t="str">
            <v>Mar/99 - Fev/00</v>
          </cell>
        </row>
        <row r="223">
          <cell r="A223" t="str">
            <v>Abr/99 - Mar/00</v>
          </cell>
        </row>
        <row r="224">
          <cell r="A224" t="str">
            <v>Mai/99 - Abr/00</v>
          </cell>
        </row>
        <row r="225">
          <cell r="A225" t="str">
            <v>Jun/99 - Mai/00</v>
          </cell>
        </row>
        <row r="226">
          <cell r="A226" t="str">
            <v>Jul/99 - Jun/00</v>
          </cell>
        </row>
        <row r="227">
          <cell r="A227" t="str">
            <v>Ago/99 - Jul/00</v>
          </cell>
        </row>
        <row r="228">
          <cell r="A228" t="str">
            <v>Set/99 - Ago/00</v>
          </cell>
        </row>
        <row r="229">
          <cell r="A229" t="str">
            <v>Out/99 - Set/00</v>
          </cell>
        </row>
        <row r="230">
          <cell r="A230" t="str">
            <v>Nov/99 - Out/00</v>
          </cell>
        </row>
        <row r="231">
          <cell r="A231" t="str">
            <v>Dez/99 - Nov/00</v>
          </cell>
        </row>
        <row r="232">
          <cell r="A232" t="str">
            <v>Jan/00 - Dez/00</v>
          </cell>
        </row>
        <row r="233">
          <cell r="A233" t="str">
            <v>Fev/00 - Jan/01</v>
          </cell>
        </row>
        <row r="234">
          <cell r="A234" t="str">
            <v>Mar/00 - Fev/01</v>
          </cell>
        </row>
        <row r="235">
          <cell r="A235" t="str">
            <v>Abr/00 - Mar/01</v>
          </cell>
        </row>
        <row r="236">
          <cell r="A236" t="str">
            <v>Mai/00 - Abr/01</v>
          </cell>
        </row>
        <row r="237">
          <cell r="A237" t="str">
            <v>Jun/00 - Mai/01</v>
          </cell>
        </row>
        <row r="238">
          <cell r="A238" t="str">
            <v>Jul/00 - Jun/01</v>
          </cell>
        </row>
        <row r="239">
          <cell r="A239" t="str">
            <v>Ago/00 - Jul/01</v>
          </cell>
        </row>
        <row r="240">
          <cell r="A240" t="str">
            <v>Set/00 - Ago/01</v>
          </cell>
        </row>
        <row r="241">
          <cell r="A241" t="str">
            <v>Out/00 - Set/01</v>
          </cell>
        </row>
        <row r="242">
          <cell r="A242" t="str">
            <v>Nov/00 - Out/01</v>
          </cell>
        </row>
        <row r="243">
          <cell r="A243" t="str">
            <v>Dez/00 - Nov/01</v>
          </cell>
        </row>
        <row r="244">
          <cell r="A244" t="str">
            <v>Jan/01 - Dez/01</v>
          </cell>
        </row>
        <row r="245">
          <cell r="A245" t="str">
            <v>Fev/01 - Jan/02</v>
          </cell>
        </row>
        <row r="246">
          <cell r="A246" t="str">
            <v>Mar/01 - Fev/02</v>
          </cell>
        </row>
        <row r="247">
          <cell r="A247" t="str">
            <v>Abr/01 - Mar/02</v>
          </cell>
        </row>
        <row r="248">
          <cell r="A248" t="str">
            <v>Mai/01 -Abr/02</v>
          </cell>
        </row>
        <row r="249">
          <cell r="A249" t="str">
            <v>Jun/01 -Mai/02</v>
          </cell>
        </row>
        <row r="250">
          <cell r="A250" t="str">
            <v>Jul/01 -Jun/02</v>
          </cell>
        </row>
        <row r="251">
          <cell r="A251" t="str">
            <v>Ago/01 -Jul/02</v>
          </cell>
        </row>
        <row r="252">
          <cell r="A252" t="str">
            <v>Set/01 -Ago/02</v>
          </cell>
        </row>
        <row r="253">
          <cell r="A253" t="str">
            <v>Out/01 -Set/02</v>
          </cell>
        </row>
        <row r="254">
          <cell r="A254" t="str">
            <v>Nov/01 -Out/02</v>
          </cell>
        </row>
        <row r="255">
          <cell r="A255" t="str">
            <v>Dez/01 -Nov/02</v>
          </cell>
        </row>
        <row r="256">
          <cell r="A256" t="str">
            <v>Jan/02 -Dez/02</v>
          </cell>
        </row>
        <row r="257">
          <cell r="A257" t="str">
            <v>Fev/02 -Jan/03</v>
          </cell>
        </row>
        <row r="258">
          <cell r="A258" t="str">
            <v>Mar/02 -Fev/03</v>
          </cell>
        </row>
        <row r="259">
          <cell r="A259" t="str">
            <v>Abr/02 -Mar/03</v>
          </cell>
        </row>
        <row r="260">
          <cell r="A260" t="str">
            <v>Mai/02 -Abr/03</v>
          </cell>
        </row>
        <row r="261">
          <cell r="A261" t="str">
            <v>Jun/02 -Mai/03</v>
          </cell>
        </row>
        <row r="262">
          <cell r="A262" t="str">
            <v>Jul/02 -Jun/03</v>
          </cell>
        </row>
        <row r="263">
          <cell r="A263" t="str">
            <v>Ago/02 -Jul/03</v>
          </cell>
        </row>
        <row r="264">
          <cell r="A264" t="str">
            <v>Set/02 -Ago/03</v>
          </cell>
        </row>
        <row r="265">
          <cell r="A265" t="str">
            <v>Out/02 -Set/03</v>
          </cell>
        </row>
        <row r="266">
          <cell r="A266" t="str">
            <v>Nov/02 -Out/03</v>
          </cell>
        </row>
        <row r="267">
          <cell r="A267" t="str">
            <v>Dez/02 -Nov/03</v>
          </cell>
        </row>
        <row r="268">
          <cell r="A268" t="str">
            <v>Jan/03 -Dez/03</v>
          </cell>
        </row>
        <row r="269">
          <cell r="A269" t="str">
            <v>Fev/03 -Jan/04</v>
          </cell>
        </row>
        <row r="270">
          <cell r="A270" t="str">
            <v>Mar/03 -Fev/04</v>
          </cell>
        </row>
        <row r="271">
          <cell r="A271" t="str">
            <v>Abr/03 -Mar/04</v>
          </cell>
        </row>
        <row r="272">
          <cell r="A272" t="str">
            <v>Mai/03 -Abr/04</v>
          </cell>
        </row>
        <row r="273">
          <cell r="A273" t="str">
            <v>Jun/03 -Mai/04</v>
          </cell>
        </row>
        <row r="274">
          <cell r="A274" t="str">
            <v>Jul/03 -jun/04</v>
          </cell>
        </row>
      </sheetData>
      <sheetData sheetId="2">
        <row r="1">
          <cell r="A1" t="str">
            <v>3. Dados dos produtos de Circulação por Dia da Semana</v>
          </cell>
        </row>
        <row r="3">
          <cell r="A3" t="str">
            <v>3.1. Circulação</v>
          </cell>
        </row>
        <row r="5">
          <cell r="A5" t="str">
            <v>Mês</v>
          </cell>
        </row>
        <row r="6">
          <cell r="A6">
            <v>33695</v>
          </cell>
        </row>
        <row r="7">
          <cell r="A7">
            <v>33725</v>
          </cell>
        </row>
        <row r="8">
          <cell r="A8">
            <v>33756</v>
          </cell>
        </row>
        <row r="9">
          <cell r="A9">
            <v>33786</v>
          </cell>
          <cell r="B9">
            <v>23454</v>
          </cell>
        </row>
        <row r="10">
          <cell r="A10">
            <v>33817</v>
          </cell>
          <cell r="C10">
            <v>28079</v>
          </cell>
          <cell r="D10">
            <v>27748</v>
          </cell>
          <cell r="E10">
            <v>36388</v>
          </cell>
          <cell r="F10">
            <v>27849</v>
          </cell>
          <cell r="G10">
            <v>34788</v>
          </cell>
          <cell r="H10">
            <v>62356</v>
          </cell>
          <cell r="K10">
            <v>33817</v>
          </cell>
          <cell r="L10">
            <v>17195</v>
          </cell>
          <cell r="M10">
            <v>20915</v>
          </cell>
          <cell r="N10">
            <v>20542</v>
          </cell>
          <cell r="O10">
            <v>29162</v>
          </cell>
          <cell r="P10">
            <v>20599</v>
          </cell>
          <cell r="Q10">
            <v>27602</v>
          </cell>
          <cell r="R10">
            <v>55162</v>
          </cell>
          <cell r="U10">
            <v>33817</v>
          </cell>
          <cell r="V10">
            <v>7228</v>
          </cell>
          <cell r="W10">
            <v>7164</v>
          </cell>
          <cell r="X10">
            <v>7206</v>
          </cell>
          <cell r="Y10">
            <v>7226</v>
          </cell>
          <cell r="Z10">
            <v>7250</v>
          </cell>
          <cell r="AA10">
            <v>7186</v>
          </cell>
          <cell r="AB10">
            <v>7194</v>
          </cell>
        </row>
        <row r="11">
          <cell r="A11">
            <v>33848</v>
          </cell>
          <cell r="C11">
            <v>25871</v>
          </cell>
          <cell r="D11">
            <v>29596</v>
          </cell>
          <cell r="E11">
            <v>36421</v>
          </cell>
          <cell r="F11">
            <v>27405</v>
          </cell>
          <cell r="G11">
            <v>34915</v>
          </cell>
          <cell r="H11">
            <v>62835</v>
          </cell>
          <cell r="K11">
            <v>33848</v>
          </cell>
          <cell r="L11">
            <v>14835</v>
          </cell>
          <cell r="M11">
            <v>17056</v>
          </cell>
          <cell r="N11">
            <v>20752</v>
          </cell>
          <cell r="O11">
            <v>26042</v>
          </cell>
          <cell r="P11">
            <v>18611</v>
          </cell>
          <cell r="Q11">
            <v>26444</v>
          </cell>
          <cell r="R11">
            <v>54364</v>
          </cell>
          <cell r="U11">
            <v>33848</v>
          </cell>
          <cell r="V11">
            <v>8735</v>
          </cell>
          <cell r="W11">
            <v>8815</v>
          </cell>
          <cell r="X11">
            <v>8844</v>
          </cell>
          <cell r="Y11">
            <v>8769</v>
          </cell>
          <cell r="Z11">
            <v>8794</v>
          </cell>
          <cell r="AA11">
            <v>8471</v>
          </cell>
          <cell r="AB11">
            <v>8471</v>
          </cell>
        </row>
        <row r="12">
          <cell r="A12">
            <v>33878</v>
          </cell>
          <cell r="C12">
            <v>25432</v>
          </cell>
          <cell r="D12">
            <v>27861</v>
          </cell>
          <cell r="E12">
            <v>35019</v>
          </cell>
          <cell r="F12">
            <v>27297</v>
          </cell>
          <cell r="G12">
            <v>33571</v>
          </cell>
          <cell r="H12">
            <v>62616</v>
          </cell>
          <cell r="K12">
            <v>33878</v>
          </cell>
          <cell r="L12">
            <v>14243</v>
          </cell>
          <cell r="M12">
            <v>16290</v>
          </cell>
          <cell r="N12">
            <v>18707</v>
          </cell>
          <cell r="O12">
            <v>25916</v>
          </cell>
          <cell r="P12">
            <v>18171</v>
          </cell>
          <cell r="Q12">
            <v>24804</v>
          </cell>
          <cell r="R12">
            <v>53825</v>
          </cell>
          <cell r="U12">
            <v>33878</v>
          </cell>
          <cell r="V12">
            <v>9078</v>
          </cell>
          <cell r="W12">
            <v>9142</v>
          </cell>
          <cell r="X12">
            <v>9154</v>
          </cell>
          <cell r="Y12">
            <v>9103</v>
          </cell>
          <cell r="Z12">
            <v>9126</v>
          </cell>
          <cell r="AA12">
            <v>8767</v>
          </cell>
          <cell r="AB12">
            <v>8791</v>
          </cell>
        </row>
        <row r="13">
          <cell r="A13">
            <v>33909</v>
          </cell>
          <cell r="C13">
            <v>25173</v>
          </cell>
          <cell r="D13">
            <v>27644</v>
          </cell>
          <cell r="E13">
            <v>34859</v>
          </cell>
          <cell r="F13">
            <v>26300</v>
          </cell>
          <cell r="G13">
            <v>34524</v>
          </cell>
          <cell r="H13">
            <v>63980</v>
          </cell>
          <cell r="K13">
            <v>33909</v>
          </cell>
          <cell r="L13">
            <v>13118</v>
          </cell>
          <cell r="M13">
            <v>15974</v>
          </cell>
          <cell r="N13">
            <v>18428</v>
          </cell>
          <cell r="O13">
            <v>25647</v>
          </cell>
          <cell r="P13">
            <v>17061</v>
          </cell>
          <cell r="Q13">
            <v>25670</v>
          </cell>
          <cell r="R13">
            <v>55145</v>
          </cell>
          <cell r="U13">
            <v>33909</v>
          </cell>
          <cell r="V13">
            <v>9148</v>
          </cell>
          <cell r="W13">
            <v>9199</v>
          </cell>
          <cell r="X13">
            <v>9216</v>
          </cell>
          <cell r="Y13">
            <v>9212</v>
          </cell>
          <cell r="Z13">
            <v>9239</v>
          </cell>
          <cell r="AA13">
            <v>8854</v>
          </cell>
          <cell r="AB13">
            <v>8835</v>
          </cell>
        </row>
        <row r="14">
          <cell r="A14">
            <v>33939</v>
          </cell>
          <cell r="C14">
            <v>26162</v>
          </cell>
          <cell r="D14">
            <v>28063</v>
          </cell>
          <cell r="E14">
            <v>33337</v>
          </cell>
          <cell r="F14">
            <v>24682</v>
          </cell>
          <cell r="G14">
            <v>33853</v>
          </cell>
          <cell r="H14">
            <v>64230</v>
          </cell>
          <cell r="K14">
            <v>33939</v>
          </cell>
          <cell r="L14">
            <v>13381</v>
          </cell>
          <cell r="M14">
            <v>16799</v>
          </cell>
          <cell r="N14">
            <v>18727</v>
          </cell>
          <cell r="O14">
            <v>24321</v>
          </cell>
          <cell r="P14">
            <v>15507</v>
          </cell>
          <cell r="Q14">
            <v>24975</v>
          </cell>
          <cell r="R14">
            <v>55353</v>
          </cell>
          <cell r="U14">
            <v>33939</v>
          </cell>
          <cell r="V14">
            <v>9376</v>
          </cell>
          <cell r="W14">
            <v>9363</v>
          </cell>
          <cell r="X14">
            <v>9336</v>
          </cell>
          <cell r="Y14">
            <v>9016</v>
          </cell>
          <cell r="Z14">
            <v>9175</v>
          </cell>
          <cell r="AA14">
            <v>8878</v>
          </cell>
          <cell r="AB14">
            <v>8877</v>
          </cell>
        </row>
        <row r="15">
          <cell r="A15">
            <v>33970</v>
          </cell>
          <cell r="C15">
            <v>26409</v>
          </cell>
          <cell r="D15">
            <v>27885</v>
          </cell>
          <cell r="E15">
            <v>36968</v>
          </cell>
          <cell r="F15">
            <v>24729</v>
          </cell>
          <cell r="G15">
            <v>33275</v>
          </cell>
          <cell r="H15">
            <v>64821</v>
          </cell>
          <cell r="K15">
            <v>33970</v>
          </cell>
          <cell r="L15">
            <v>12744</v>
          </cell>
          <cell r="M15">
            <v>17167</v>
          </cell>
          <cell r="N15">
            <v>18703</v>
          </cell>
          <cell r="O15">
            <v>27749</v>
          </cell>
          <cell r="P15">
            <v>15682</v>
          </cell>
          <cell r="Q15">
            <v>24540</v>
          </cell>
          <cell r="R15">
            <v>56063</v>
          </cell>
          <cell r="U15">
            <v>33970</v>
          </cell>
          <cell r="V15">
            <v>9207</v>
          </cell>
          <cell r="W15">
            <v>9242</v>
          </cell>
          <cell r="X15">
            <v>9182</v>
          </cell>
          <cell r="Y15">
            <v>9219</v>
          </cell>
          <cell r="Z15">
            <v>9047</v>
          </cell>
          <cell r="AA15">
            <v>8735</v>
          </cell>
          <cell r="AB15">
            <v>8758</v>
          </cell>
        </row>
        <row r="16">
          <cell r="A16">
            <v>34001</v>
          </cell>
          <cell r="C16">
            <v>26664</v>
          </cell>
          <cell r="D16">
            <v>28593</v>
          </cell>
          <cell r="E16">
            <v>38500</v>
          </cell>
          <cell r="F16">
            <v>30130</v>
          </cell>
          <cell r="G16">
            <v>36136</v>
          </cell>
          <cell r="H16">
            <v>69408</v>
          </cell>
          <cell r="K16">
            <v>34001</v>
          </cell>
          <cell r="L16">
            <v>13734</v>
          </cell>
          <cell r="M16">
            <v>16906</v>
          </cell>
          <cell r="N16">
            <v>18765</v>
          </cell>
          <cell r="O16">
            <v>28591</v>
          </cell>
          <cell r="P16">
            <v>20193</v>
          </cell>
          <cell r="Q16">
            <v>26631</v>
          </cell>
          <cell r="R16">
            <v>59875</v>
          </cell>
          <cell r="U16">
            <v>34001</v>
          </cell>
          <cell r="V16">
            <v>9711</v>
          </cell>
          <cell r="W16">
            <v>9758</v>
          </cell>
          <cell r="X16">
            <v>9828</v>
          </cell>
          <cell r="Y16">
            <v>9909</v>
          </cell>
          <cell r="Z16">
            <v>9937</v>
          </cell>
          <cell r="AA16">
            <v>9505</v>
          </cell>
          <cell r="AB16">
            <v>9533</v>
          </cell>
        </row>
        <row r="17">
          <cell r="A17">
            <v>34029</v>
          </cell>
          <cell r="C17">
            <v>28203</v>
          </cell>
          <cell r="D17">
            <v>29783</v>
          </cell>
          <cell r="E17">
            <v>38714</v>
          </cell>
          <cell r="F17">
            <v>29138</v>
          </cell>
          <cell r="G17">
            <v>36756</v>
          </cell>
          <cell r="H17">
            <v>72950</v>
          </cell>
          <cell r="K17">
            <v>34029</v>
          </cell>
          <cell r="L17">
            <v>14893</v>
          </cell>
          <cell r="M17">
            <v>17738</v>
          </cell>
          <cell r="N17">
            <v>19311</v>
          </cell>
          <cell r="O17">
            <v>28290</v>
          </cell>
          <cell r="P17">
            <v>18702</v>
          </cell>
          <cell r="Q17">
            <v>26731</v>
          </cell>
          <cell r="R17">
            <v>62897</v>
          </cell>
          <cell r="U17">
            <v>34029</v>
          </cell>
          <cell r="V17">
            <v>10381</v>
          </cell>
          <cell r="W17">
            <v>10465</v>
          </cell>
          <cell r="X17">
            <v>10472</v>
          </cell>
          <cell r="Y17">
            <v>10424</v>
          </cell>
          <cell r="Z17">
            <v>10436</v>
          </cell>
          <cell r="AA17">
            <v>10025</v>
          </cell>
          <cell r="AB17">
            <v>10053</v>
          </cell>
        </row>
        <row r="18">
          <cell r="A18">
            <v>34060</v>
          </cell>
          <cell r="C18">
            <v>28040</v>
          </cell>
          <cell r="D18">
            <v>30615</v>
          </cell>
          <cell r="E18">
            <v>36433</v>
          </cell>
          <cell r="F18">
            <v>27343</v>
          </cell>
          <cell r="G18">
            <v>35019</v>
          </cell>
          <cell r="H18">
            <v>69794</v>
          </cell>
          <cell r="K18">
            <v>34060</v>
          </cell>
          <cell r="L18">
            <v>13482</v>
          </cell>
          <cell r="M18">
            <v>17082</v>
          </cell>
          <cell r="N18">
            <v>19777</v>
          </cell>
          <cell r="O18">
            <v>25587</v>
          </cell>
          <cell r="P18">
            <v>16478</v>
          </cell>
          <cell r="Q18">
            <v>24626</v>
          </cell>
          <cell r="R18">
            <v>59329</v>
          </cell>
          <cell r="U18">
            <v>34060</v>
          </cell>
          <cell r="V18">
            <v>10933</v>
          </cell>
          <cell r="W18">
            <v>10958</v>
          </cell>
          <cell r="X18">
            <v>10838</v>
          </cell>
          <cell r="Y18">
            <v>10846</v>
          </cell>
          <cell r="Z18">
            <v>10865</v>
          </cell>
          <cell r="AA18">
            <v>10393</v>
          </cell>
          <cell r="AB18">
            <v>10465</v>
          </cell>
        </row>
        <row r="19">
          <cell r="A19">
            <v>34090</v>
          </cell>
          <cell r="C19">
            <v>27973</v>
          </cell>
          <cell r="D19">
            <v>28495</v>
          </cell>
          <cell r="E19">
            <v>37831</v>
          </cell>
          <cell r="F19">
            <v>27977</v>
          </cell>
          <cell r="G19">
            <v>35108</v>
          </cell>
          <cell r="H19">
            <v>70251</v>
          </cell>
          <cell r="K19">
            <v>34090</v>
          </cell>
          <cell r="L19">
            <v>12907</v>
          </cell>
          <cell r="M19">
            <v>16598</v>
          </cell>
          <cell r="N19">
            <v>17102</v>
          </cell>
          <cell r="O19">
            <v>26425</v>
          </cell>
          <cell r="P19">
            <v>16549</v>
          </cell>
          <cell r="Q19">
            <v>24236</v>
          </cell>
          <cell r="R19">
            <v>59351</v>
          </cell>
          <cell r="U19">
            <v>34090</v>
          </cell>
          <cell r="V19">
            <v>11396</v>
          </cell>
          <cell r="W19">
            <v>11375</v>
          </cell>
          <cell r="X19">
            <v>11393</v>
          </cell>
          <cell r="Y19">
            <v>11406</v>
          </cell>
          <cell r="Z19">
            <v>11428</v>
          </cell>
          <cell r="AA19">
            <v>10872</v>
          </cell>
          <cell r="AB19">
            <v>10900</v>
          </cell>
        </row>
        <row r="20">
          <cell r="A20">
            <v>34121</v>
          </cell>
          <cell r="C20">
            <v>27911</v>
          </cell>
          <cell r="D20">
            <v>28537</v>
          </cell>
          <cell r="E20">
            <v>36937</v>
          </cell>
          <cell r="F20">
            <v>27926</v>
          </cell>
          <cell r="G20">
            <v>34964</v>
          </cell>
          <cell r="H20">
            <v>69438</v>
          </cell>
          <cell r="K20">
            <v>34121</v>
          </cell>
          <cell r="L20">
            <v>12369</v>
          </cell>
          <cell r="M20">
            <v>16122</v>
          </cell>
          <cell r="N20">
            <v>16753</v>
          </cell>
          <cell r="O20">
            <v>25312</v>
          </cell>
          <cell r="P20">
            <v>16149</v>
          </cell>
          <cell r="Q20">
            <v>23738</v>
          </cell>
          <cell r="R20">
            <v>58187</v>
          </cell>
          <cell r="U20">
            <v>34121</v>
          </cell>
          <cell r="V20">
            <v>11811</v>
          </cell>
          <cell r="W20">
            <v>11789</v>
          </cell>
          <cell r="X20">
            <v>11784</v>
          </cell>
          <cell r="Y20">
            <v>11625</v>
          </cell>
          <cell r="Z20">
            <v>11777</v>
          </cell>
          <cell r="AA20">
            <v>11226</v>
          </cell>
          <cell r="AB20">
            <v>11251</v>
          </cell>
        </row>
        <row r="21">
          <cell r="A21">
            <v>34151</v>
          </cell>
          <cell r="B21">
            <v>23992</v>
          </cell>
          <cell r="C21">
            <v>27127</v>
          </cell>
          <cell r="D21">
            <v>28449</v>
          </cell>
          <cell r="E21">
            <v>37242</v>
          </cell>
          <cell r="F21">
            <v>27903</v>
          </cell>
          <cell r="G21">
            <v>34104</v>
          </cell>
          <cell r="H21">
            <v>65738</v>
          </cell>
          <cell r="K21">
            <v>34151</v>
          </cell>
          <cell r="L21">
            <v>12039</v>
          </cell>
          <cell r="M21">
            <v>15177</v>
          </cell>
          <cell r="N21">
            <v>16621</v>
          </cell>
          <cell r="O21">
            <v>25374</v>
          </cell>
          <cell r="P21">
            <v>16010</v>
          </cell>
          <cell r="Q21">
            <v>22761</v>
          </cell>
          <cell r="R21">
            <v>54342</v>
          </cell>
          <cell r="U21">
            <v>34151</v>
          </cell>
          <cell r="V21">
            <v>11953</v>
          </cell>
          <cell r="W21">
            <v>11950</v>
          </cell>
          <cell r="X21">
            <v>11828</v>
          </cell>
          <cell r="Y21">
            <v>11868</v>
          </cell>
          <cell r="Z21">
            <v>11893</v>
          </cell>
          <cell r="AA21">
            <v>11343</v>
          </cell>
          <cell r="AB21">
            <v>11396</v>
          </cell>
        </row>
        <row r="22">
          <cell r="A22">
            <v>34182</v>
          </cell>
          <cell r="C22">
            <v>27906</v>
          </cell>
          <cell r="D22">
            <v>28945</v>
          </cell>
          <cell r="E22">
            <v>37800</v>
          </cell>
          <cell r="F22">
            <v>29028</v>
          </cell>
          <cell r="G22">
            <v>35109</v>
          </cell>
          <cell r="H22">
            <v>69729</v>
          </cell>
          <cell r="K22">
            <v>34182</v>
          </cell>
          <cell r="L22">
            <v>12304</v>
          </cell>
          <cell r="M22">
            <v>15179</v>
          </cell>
          <cell r="N22">
            <v>16249</v>
          </cell>
          <cell r="O22">
            <v>25128</v>
          </cell>
          <cell r="P22">
            <v>16300</v>
          </cell>
          <cell r="Q22">
            <v>23001</v>
          </cell>
          <cell r="R22">
            <v>57761</v>
          </cell>
          <cell r="U22">
            <v>34182</v>
          </cell>
          <cell r="V22">
            <v>12700</v>
          </cell>
          <cell r="W22">
            <v>12727</v>
          </cell>
          <cell r="X22">
            <v>12696</v>
          </cell>
          <cell r="Y22">
            <v>12672</v>
          </cell>
          <cell r="Z22">
            <v>12728</v>
          </cell>
          <cell r="AA22">
            <v>12108</v>
          </cell>
          <cell r="AB22">
            <v>11968</v>
          </cell>
        </row>
        <row r="23">
          <cell r="A23">
            <v>34213</v>
          </cell>
          <cell r="C23">
            <v>27433</v>
          </cell>
          <cell r="D23">
            <v>28040</v>
          </cell>
          <cell r="E23">
            <v>36506</v>
          </cell>
          <cell r="F23">
            <v>28289</v>
          </cell>
          <cell r="G23">
            <v>33990</v>
          </cell>
          <cell r="H23">
            <v>68166</v>
          </cell>
          <cell r="K23">
            <v>34213</v>
          </cell>
          <cell r="L23">
            <v>12156</v>
          </cell>
          <cell r="M23">
            <v>14545</v>
          </cell>
          <cell r="N23">
            <v>15014</v>
          </cell>
          <cell r="O23">
            <v>23457</v>
          </cell>
          <cell r="P23">
            <v>15267</v>
          </cell>
          <cell r="Q23">
            <v>21614</v>
          </cell>
          <cell r="R23">
            <v>55761</v>
          </cell>
          <cell r="U23">
            <v>34213</v>
          </cell>
          <cell r="V23">
            <v>13061</v>
          </cell>
          <cell r="W23">
            <v>12888</v>
          </cell>
          <cell r="X23">
            <v>13026</v>
          </cell>
          <cell r="Y23">
            <v>13049</v>
          </cell>
          <cell r="Z23">
            <v>13022</v>
          </cell>
          <cell r="AA23">
            <v>12376</v>
          </cell>
          <cell r="AB23">
            <v>12405</v>
          </cell>
        </row>
        <row r="24">
          <cell r="A24">
            <v>34243</v>
          </cell>
          <cell r="C24">
            <v>28286</v>
          </cell>
          <cell r="D24">
            <v>28810</v>
          </cell>
          <cell r="E24">
            <v>38259</v>
          </cell>
          <cell r="F24">
            <v>28528</v>
          </cell>
          <cell r="G24">
            <v>35096</v>
          </cell>
          <cell r="H24">
            <v>68980</v>
          </cell>
          <cell r="K24">
            <v>34243</v>
          </cell>
          <cell r="L24">
            <v>10805</v>
          </cell>
          <cell r="M24">
            <v>13886</v>
          </cell>
          <cell r="N24">
            <v>14257</v>
          </cell>
          <cell r="O24">
            <v>23692</v>
          </cell>
          <cell r="P24">
            <v>13996</v>
          </cell>
          <cell r="Q24">
            <v>21614</v>
          </cell>
          <cell r="R24">
            <v>55335</v>
          </cell>
          <cell r="U24">
            <v>34243</v>
          </cell>
          <cell r="V24">
            <v>14593</v>
          </cell>
          <cell r="W24">
            <v>14400</v>
          </cell>
          <cell r="X24">
            <v>14553</v>
          </cell>
          <cell r="Y24">
            <v>14567</v>
          </cell>
          <cell r="Z24">
            <v>14532</v>
          </cell>
          <cell r="AA24">
            <v>13482</v>
          </cell>
          <cell r="AB24">
            <v>13645</v>
          </cell>
        </row>
        <row r="25">
          <cell r="A25">
            <v>34274</v>
          </cell>
          <cell r="C25">
            <v>29498</v>
          </cell>
          <cell r="D25">
            <v>30061</v>
          </cell>
          <cell r="E25">
            <v>40225</v>
          </cell>
          <cell r="F25">
            <v>29694</v>
          </cell>
          <cell r="G25">
            <v>36985</v>
          </cell>
          <cell r="H25">
            <v>72409</v>
          </cell>
          <cell r="K25">
            <v>34274</v>
          </cell>
          <cell r="L25">
            <v>13073</v>
          </cell>
          <cell r="M25">
            <v>14622</v>
          </cell>
          <cell r="N25">
            <v>15126</v>
          </cell>
          <cell r="O25">
            <v>25223</v>
          </cell>
          <cell r="P25">
            <v>14673</v>
          </cell>
          <cell r="Q25">
            <v>23122</v>
          </cell>
          <cell r="R25">
            <v>58422</v>
          </cell>
          <cell r="U25">
            <v>34274</v>
          </cell>
          <cell r="V25">
            <v>14900</v>
          </cell>
          <cell r="W25">
            <v>14876</v>
          </cell>
          <cell r="X25">
            <v>14935</v>
          </cell>
          <cell r="Y25">
            <v>15002</v>
          </cell>
          <cell r="Z25">
            <v>15021</v>
          </cell>
          <cell r="AA25">
            <v>13863</v>
          </cell>
          <cell r="AB25">
            <v>13987</v>
          </cell>
        </row>
        <row r="26">
          <cell r="A26">
            <v>34304</v>
          </cell>
          <cell r="C26">
            <v>29941</v>
          </cell>
          <cell r="D26">
            <v>31447</v>
          </cell>
          <cell r="E26">
            <v>39212</v>
          </cell>
          <cell r="F26">
            <v>29360</v>
          </cell>
          <cell r="G26">
            <v>33567</v>
          </cell>
          <cell r="H26">
            <v>68056</v>
          </cell>
          <cell r="K26">
            <v>34304</v>
          </cell>
          <cell r="L26">
            <v>11227</v>
          </cell>
          <cell r="M26">
            <v>14734</v>
          </cell>
          <cell r="N26">
            <v>16244</v>
          </cell>
          <cell r="O26">
            <v>24024</v>
          </cell>
          <cell r="P26">
            <v>14335</v>
          </cell>
          <cell r="Q26">
            <v>19449</v>
          </cell>
          <cell r="R26">
            <v>53889</v>
          </cell>
          <cell r="U26">
            <v>34304</v>
          </cell>
          <cell r="V26">
            <v>15401</v>
          </cell>
          <cell r="W26">
            <v>15207</v>
          </cell>
          <cell r="X26">
            <v>15203</v>
          </cell>
          <cell r="Y26">
            <v>15188</v>
          </cell>
          <cell r="Z26">
            <v>15025</v>
          </cell>
          <cell r="AA26">
            <v>14118</v>
          </cell>
          <cell r="AB26">
            <v>14167</v>
          </cell>
        </row>
        <row r="27">
          <cell r="A27">
            <v>34335</v>
          </cell>
          <cell r="C27">
            <v>29191</v>
          </cell>
          <cell r="D27">
            <v>30978</v>
          </cell>
          <cell r="E27">
            <v>40209</v>
          </cell>
          <cell r="F27">
            <v>29524</v>
          </cell>
          <cell r="G27">
            <v>33247</v>
          </cell>
          <cell r="H27">
            <v>67117</v>
          </cell>
          <cell r="K27">
            <v>34335</v>
          </cell>
          <cell r="L27">
            <v>11022</v>
          </cell>
          <cell r="M27">
            <v>14126</v>
          </cell>
          <cell r="N27">
            <v>15909</v>
          </cell>
          <cell r="O27">
            <v>25133</v>
          </cell>
          <cell r="P27">
            <v>14399</v>
          </cell>
          <cell r="Q27">
            <v>19237</v>
          </cell>
          <cell r="R27">
            <v>53016</v>
          </cell>
          <cell r="U27">
            <v>34335</v>
          </cell>
          <cell r="V27">
            <v>15277</v>
          </cell>
          <cell r="W27">
            <v>15065</v>
          </cell>
          <cell r="X27">
            <v>15069</v>
          </cell>
          <cell r="Y27">
            <v>15076</v>
          </cell>
          <cell r="Z27">
            <v>15125</v>
          </cell>
          <cell r="AA27">
            <v>14010</v>
          </cell>
          <cell r="AB27">
            <v>14101</v>
          </cell>
        </row>
        <row r="28">
          <cell r="A28">
            <v>34366</v>
          </cell>
          <cell r="C28">
            <v>30334</v>
          </cell>
          <cell r="D28">
            <v>32073</v>
          </cell>
          <cell r="E28">
            <v>43605</v>
          </cell>
          <cell r="F28">
            <v>31521</v>
          </cell>
          <cell r="G28">
            <v>38120</v>
          </cell>
          <cell r="H28">
            <v>74729</v>
          </cell>
          <cell r="K28">
            <v>34366</v>
          </cell>
          <cell r="L28">
            <v>11910</v>
          </cell>
          <cell r="M28">
            <v>14673</v>
          </cell>
          <cell r="N28">
            <v>16245</v>
          </cell>
          <cell r="O28">
            <v>27667</v>
          </cell>
          <cell r="P28">
            <v>15539</v>
          </cell>
          <cell r="Q28">
            <v>23254</v>
          </cell>
          <cell r="R28">
            <v>59819</v>
          </cell>
          <cell r="U28">
            <v>34366</v>
          </cell>
          <cell r="V28">
            <v>15940</v>
          </cell>
          <cell r="W28">
            <v>15661</v>
          </cell>
          <cell r="X28">
            <v>15828</v>
          </cell>
          <cell r="Y28">
            <v>15938</v>
          </cell>
          <cell r="Z28">
            <v>15982</v>
          </cell>
          <cell r="AA28">
            <v>14866</v>
          </cell>
          <cell r="AB28">
            <v>14910</v>
          </cell>
        </row>
        <row r="29">
          <cell r="A29">
            <v>34394</v>
          </cell>
          <cell r="C29">
            <v>35030</v>
          </cell>
          <cell r="D29">
            <v>34487</v>
          </cell>
          <cell r="E29">
            <v>45100</v>
          </cell>
          <cell r="F29">
            <v>33854</v>
          </cell>
          <cell r="G29">
            <v>40799</v>
          </cell>
          <cell r="H29">
            <v>82607</v>
          </cell>
          <cell r="K29">
            <v>34394</v>
          </cell>
          <cell r="L29">
            <v>12282</v>
          </cell>
          <cell r="M29">
            <v>18356</v>
          </cell>
          <cell r="N29">
            <v>17752</v>
          </cell>
          <cell r="O29">
            <v>28451</v>
          </cell>
          <cell r="P29">
            <v>17110</v>
          </cell>
          <cell r="Q29">
            <v>25129</v>
          </cell>
          <cell r="R29">
            <v>66892</v>
          </cell>
          <cell r="U29">
            <v>34394</v>
          </cell>
          <cell r="V29">
            <v>17444</v>
          </cell>
          <cell r="W29">
            <v>16674</v>
          </cell>
          <cell r="X29">
            <v>16735</v>
          </cell>
          <cell r="Y29">
            <v>16649</v>
          </cell>
          <cell r="Z29">
            <v>16744</v>
          </cell>
          <cell r="AA29">
            <v>15670</v>
          </cell>
          <cell r="AB29">
            <v>15715</v>
          </cell>
        </row>
        <row r="30">
          <cell r="A30">
            <v>34425</v>
          </cell>
          <cell r="C30">
            <v>32156</v>
          </cell>
          <cell r="D30">
            <v>33641</v>
          </cell>
          <cell r="E30">
            <v>43573</v>
          </cell>
          <cell r="F30">
            <v>31996</v>
          </cell>
          <cell r="G30">
            <v>38834</v>
          </cell>
          <cell r="H30">
            <v>78533</v>
          </cell>
          <cell r="K30">
            <v>34425</v>
          </cell>
          <cell r="L30">
            <v>11317</v>
          </cell>
          <cell r="M30">
            <v>15035</v>
          </cell>
          <cell r="N30">
            <v>16453</v>
          </cell>
          <cell r="O30">
            <v>26694</v>
          </cell>
          <cell r="P30">
            <v>14992</v>
          </cell>
          <cell r="Q30">
            <v>22679</v>
          </cell>
          <cell r="R30">
            <v>62452</v>
          </cell>
          <cell r="U30">
            <v>34425</v>
          </cell>
          <cell r="V30">
            <v>17328</v>
          </cell>
          <cell r="W30">
            <v>17121</v>
          </cell>
          <cell r="X30">
            <v>17188</v>
          </cell>
          <cell r="Y30">
            <v>16879</v>
          </cell>
          <cell r="Z30">
            <v>17004</v>
          </cell>
          <cell r="AA30">
            <v>16155</v>
          </cell>
          <cell r="AB30">
            <v>16081</v>
          </cell>
        </row>
        <row r="31">
          <cell r="A31">
            <v>34455</v>
          </cell>
        </row>
        <row r="32">
          <cell r="A32">
            <v>34486</v>
          </cell>
        </row>
        <row r="33">
          <cell r="A33">
            <v>34516</v>
          </cell>
        </row>
        <row r="34">
          <cell r="A34">
            <v>34547</v>
          </cell>
        </row>
        <row r="35">
          <cell r="A35">
            <v>34578</v>
          </cell>
        </row>
        <row r="36">
          <cell r="A36">
            <v>34608</v>
          </cell>
        </row>
        <row r="37">
          <cell r="A37">
            <v>34639</v>
          </cell>
        </row>
        <row r="38">
          <cell r="A38">
            <v>34669</v>
          </cell>
        </row>
        <row r="39">
          <cell r="A39">
            <v>34700</v>
          </cell>
        </row>
        <row r="40">
          <cell r="A40">
            <v>34731</v>
          </cell>
        </row>
        <row r="41">
          <cell r="A41">
            <v>34759</v>
          </cell>
        </row>
        <row r="42">
          <cell r="A42">
            <v>34790</v>
          </cell>
        </row>
        <row r="43">
          <cell r="A43">
            <v>34820</v>
          </cell>
        </row>
        <row r="44">
          <cell r="A44">
            <v>34851</v>
          </cell>
        </row>
        <row r="45">
          <cell r="A45">
            <v>34881</v>
          </cell>
        </row>
        <row r="46">
          <cell r="A46">
            <v>34912</v>
          </cell>
        </row>
        <row r="47">
          <cell r="A47">
            <v>34943</v>
          </cell>
          <cell r="B47">
            <v>42542</v>
          </cell>
        </row>
        <row r="48">
          <cell r="A48">
            <v>34973</v>
          </cell>
        </row>
        <row r="49">
          <cell r="A49">
            <v>35004</v>
          </cell>
        </row>
        <row r="50">
          <cell r="A50">
            <v>35034</v>
          </cell>
        </row>
        <row r="51">
          <cell r="A51">
            <v>35065</v>
          </cell>
        </row>
        <row r="52">
          <cell r="A52">
            <v>35096</v>
          </cell>
        </row>
        <row r="53">
          <cell r="A53">
            <v>35125</v>
          </cell>
          <cell r="B53">
            <v>48472</v>
          </cell>
        </row>
        <row r="54">
          <cell r="A54">
            <v>35156</v>
          </cell>
        </row>
        <row r="55">
          <cell r="A55">
            <v>35186</v>
          </cell>
        </row>
        <row r="56">
          <cell r="A56">
            <v>35217</v>
          </cell>
        </row>
        <row r="57">
          <cell r="A57">
            <v>35247</v>
          </cell>
        </row>
        <row r="58">
          <cell r="A58">
            <v>35278</v>
          </cell>
        </row>
        <row r="59">
          <cell r="A59">
            <v>35309</v>
          </cell>
          <cell r="B59">
            <v>47252</v>
          </cell>
        </row>
        <row r="60">
          <cell r="A60">
            <v>35339</v>
          </cell>
        </row>
        <row r="61">
          <cell r="A61">
            <v>35370</v>
          </cell>
        </row>
        <row r="62">
          <cell r="A62">
            <v>35400</v>
          </cell>
        </row>
        <row r="63">
          <cell r="A63">
            <v>35431</v>
          </cell>
        </row>
        <row r="64">
          <cell r="A64">
            <v>35462</v>
          </cell>
        </row>
        <row r="65">
          <cell r="A65">
            <v>35490</v>
          </cell>
          <cell r="B65">
            <v>51357</v>
          </cell>
        </row>
        <row r="66">
          <cell r="A66">
            <v>35521</v>
          </cell>
        </row>
        <row r="67">
          <cell r="A67">
            <v>35551</v>
          </cell>
        </row>
        <row r="68">
          <cell r="A68">
            <v>35582</v>
          </cell>
        </row>
        <row r="69">
          <cell r="A69">
            <v>35612</v>
          </cell>
        </row>
        <row r="70">
          <cell r="A70">
            <v>35643</v>
          </cell>
        </row>
        <row r="71">
          <cell r="A71">
            <v>35674</v>
          </cell>
        </row>
        <row r="72">
          <cell r="A72">
            <v>35704</v>
          </cell>
        </row>
        <row r="73">
          <cell r="A73">
            <v>35735</v>
          </cell>
        </row>
        <row r="74">
          <cell r="A74">
            <v>35765</v>
          </cell>
        </row>
        <row r="75">
          <cell r="A75">
            <v>35796</v>
          </cell>
        </row>
        <row r="76">
          <cell r="A76">
            <v>35827</v>
          </cell>
        </row>
        <row r="77">
          <cell r="A77">
            <v>35855</v>
          </cell>
        </row>
        <row r="78">
          <cell r="A78">
            <v>35886</v>
          </cell>
        </row>
        <row r="79">
          <cell r="A79">
            <v>35916</v>
          </cell>
        </row>
        <row r="80">
          <cell r="A80">
            <v>35947</v>
          </cell>
        </row>
        <row r="81">
          <cell r="A81">
            <v>35977</v>
          </cell>
        </row>
        <row r="82">
          <cell r="A82">
            <v>36008</v>
          </cell>
        </row>
        <row r="83">
          <cell r="A83">
            <v>36039</v>
          </cell>
        </row>
        <row r="84">
          <cell r="A84">
            <v>36069</v>
          </cell>
        </row>
        <row r="85">
          <cell r="A85">
            <v>36100</v>
          </cell>
        </row>
        <row r="86">
          <cell r="A86">
            <v>36130</v>
          </cell>
        </row>
        <row r="87">
          <cell r="A87">
            <v>36161</v>
          </cell>
        </row>
        <row r="88">
          <cell r="A88">
            <v>36192</v>
          </cell>
        </row>
        <row r="89">
          <cell r="A89">
            <v>36220</v>
          </cell>
        </row>
        <row r="90">
          <cell r="A90">
            <v>36251</v>
          </cell>
        </row>
        <row r="91">
          <cell r="A91">
            <v>36281</v>
          </cell>
        </row>
        <row r="92">
          <cell r="A92">
            <v>36312</v>
          </cell>
        </row>
        <row r="93">
          <cell r="A93">
            <v>36342</v>
          </cell>
        </row>
        <row r="94">
          <cell r="A94">
            <v>36373</v>
          </cell>
        </row>
        <row r="95">
          <cell r="A95">
            <v>36404</v>
          </cell>
        </row>
        <row r="96">
          <cell r="A96">
            <v>36434</v>
          </cell>
        </row>
        <row r="97">
          <cell r="A97">
            <v>36465</v>
          </cell>
        </row>
        <row r="98">
          <cell r="A98">
            <v>36495</v>
          </cell>
        </row>
        <row r="99">
          <cell r="A99">
            <v>36526</v>
          </cell>
        </row>
        <row r="100">
          <cell r="A100">
            <v>36557</v>
          </cell>
        </row>
        <row r="101">
          <cell r="A101">
            <v>36586</v>
          </cell>
        </row>
        <row r="102">
          <cell r="A102">
            <v>36617</v>
          </cell>
        </row>
        <row r="103">
          <cell r="A103">
            <v>36647</v>
          </cell>
        </row>
        <row r="104">
          <cell r="A104">
            <v>36678</v>
          </cell>
        </row>
        <row r="105">
          <cell r="A105">
            <v>36708</v>
          </cell>
        </row>
        <row r="106">
          <cell r="A106">
            <v>36739</v>
          </cell>
        </row>
        <row r="107">
          <cell r="A107">
            <v>36770</v>
          </cell>
        </row>
        <row r="108">
          <cell r="A108">
            <v>36800</v>
          </cell>
        </row>
        <row r="109">
          <cell r="A109">
            <v>36831</v>
          </cell>
        </row>
        <row r="110">
          <cell r="A110">
            <v>36861</v>
          </cell>
        </row>
        <row r="111">
          <cell r="A111">
            <v>36892</v>
          </cell>
        </row>
        <row r="112">
          <cell r="A112">
            <v>36923</v>
          </cell>
        </row>
        <row r="113">
          <cell r="A113">
            <v>36951</v>
          </cell>
        </row>
        <row r="114">
          <cell r="A114">
            <v>36982</v>
          </cell>
        </row>
        <row r="115">
          <cell r="A115">
            <v>37012</v>
          </cell>
        </row>
        <row r="116">
          <cell r="A116">
            <v>37043</v>
          </cell>
        </row>
        <row r="117">
          <cell r="A117">
            <v>37073</v>
          </cell>
        </row>
        <row r="118">
          <cell r="A118">
            <v>37104</v>
          </cell>
        </row>
        <row r="119">
          <cell r="A119">
            <v>37135</v>
          </cell>
        </row>
        <row r="120">
          <cell r="A120">
            <v>37165</v>
          </cell>
        </row>
        <row r="121">
          <cell r="A121">
            <v>37196</v>
          </cell>
        </row>
        <row r="122">
          <cell r="A122">
            <v>37226</v>
          </cell>
        </row>
        <row r="123">
          <cell r="A123">
            <v>37257</v>
          </cell>
        </row>
        <row r="124">
          <cell r="A124">
            <v>37288</v>
          </cell>
        </row>
        <row r="125">
          <cell r="A125">
            <v>37316</v>
          </cell>
        </row>
        <row r="126">
          <cell r="A126">
            <v>37347</v>
          </cell>
        </row>
        <row r="127">
          <cell r="A127">
            <v>37377</v>
          </cell>
        </row>
        <row r="128">
          <cell r="A128">
            <v>37408</v>
          </cell>
        </row>
        <row r="129">
          <cell r="A129">
            <v>37438</v>
          </cell>
        </row>
        <row r="130">
          <cell r="A130">
            <v>37469</v>
          </cell>
        </row>
        <row r="131">
          <cell r="A131">
            <v>37500</v>
          </cell>
        </row>
        <row r="132">
          <cell r="A132">
            <v>37530</v>
          </cell>
        </row>
        <row r="133">
          <cell r="A133">
            <v>37561</v>
          </cell>
        </row>
        <row r="134">
          <cell r="A134">
            <v>37591</v>
          </cell>
        </row>
        <row r="135">
          <cell r="A135">
            <v>37622</v>
          </cell>
        </row>
        <row r="136">
          <cell r="A136">
            <v>37653</v>
          </cell>
        </row>
        <row r="137">
          <cell r="A137">
            <v>37681</v>
          </cell>
        </row>
        <row r="138">
          <cell r="A138">
            <v>37712</v>
          </cell>
        </row>
        <row r="139">
          <cell r="A139">
            <v>37742</v>
          </cell>
        </row>
        <row r="140">
          <cell r="A140">
            <v>37773</v>
          </cell>
        </row>
        <row r="141">
          <cell r="A141">
            <v>37803</v>
          </cell>
        </row>
        <row r="142">
          <cell r="A142">
            <v>37834</v>
          </cell>
        </row>
        <row r="143">
          <cell r="A143">
            <v>37865</v>
          </cell>
        </row>
        <row r="144">
          <cell r="A144">
            <v>37895</v>
          </cell>
        </row>
        <row r="145">
          <cell r="A145">
            <v>37926</v>
          </cell>
        </row>
        <row r="146">
          <cell r="A146">
            <v>37956</v>
          </cell>
        </row>
        <row r="147">
          <cell r="A147">
            <v>37987</v>
          </cell>
        </row>
        <row r="148">
          <cell r="A148">
            <v>38018</v>
          </cell>
        </row>
        <row r="149">
          <cell r="A149">
            <v>38047</v>
          </cell>
        </row>
        <row r="150">
          <cell r="A150">
            <v>38078</v>
          </cell>
        </row>
        <row r="151">
          <cell r="A151">
            <v>38108</v>
          </cell>
        </row>
        <row r="152">
          <cell r="A152">
            <v>38139</v>
          </cell>
        </row>
        <row r="153">
          <cell r="A153" t="str">
            <v>2002</v>
          </cell>
        </row>
        <row r="154">
          <cell r="A154" t="str">
            <v>3.1.1. Evolução Anual (CGAR)</v>
          </cell>
        </row>
        <row r="155">
          <cell r="A155" t="str">
            <v>CAGR</v>
          </cell>
        </row>
        <row r="156">
          <cell r="A156" t="str">
            <v>Ano</v>
          </cell>
        </row>
        <row r="157">
          <cell r="A157" t="str">
            <v>1996</v>
          </cell>
        </row>
        <row r="158">
          <cell r="A158" t="str">
            <v>1997</v>
          </cell>
        </row>
        <row r="159">
          <cell r="A159" t="str">
            <v>1998</v>
          </cell>
        </row>
        <row r="160">
          <cell r="A160" t="str">
            <v>1999</v>
          </cell>
        </row>
        <row r="161">
          <cell r="A161" t="str">
            <v>2000</v>
          </cell>
        </row>
        <row r="162">
          <cell r="A162" t="str">
            <v>2001</v>
          </cell>
        </row>
        <row r="163">
          <cell r="A163" t="str">
            <v>2002</v>
          </cell>
        </row>
        <row r="164">
          <cell r="A164" t="str">
            <v>2003</v>
          </cell>
        </row>
        <row r="165">
          <cell r="A165" t="str">
            <v>CGAR</v>
          </cell>
        </row>
        <row r="166">
          <cell r="A166">
            <v>0</v>
          </cell>
        </row>
        <row r="167">
          <cell r="A167">
            <v>37987</v>
          </cell>
        </row>
        <row r="168">
          <cell r="A168" t="str">
            <v>jan-ago/02</v>
          </cell>
        </row>
        <row r="169">
          <cell r="A169" t="str">
            <v>3.1.2. Comparativos Mês x Mês</v>
          </cell>
        </row>
        <row r="170">
          <cell r="A170" t="str">
            <v>jan-ago/02 x 03</v>
          </cell>
        </row>
        <row r="171">
          <cell r="A171" t="str">
            <v>Período</v>
          </cell>
        </row>
        <row r="172">
          <cell r="A172" t="str">
            <v>Jun/04 x Mai/04</v>
          </cell>
        </row>
        <row r="173">
          <cell r="A173" t="str">
            <v>Jun/04 x Jun/03</v>
          </cell>
        </row>
        <row r="175">
          <cell r="A175" t="str">
            <v>3.1.3. Comparativo do Acumulado no Período</v>
          </cell>
        </row>
        <row r="176">
          <cell r="A176" t="str">
            <v>3.1.3. Comparativo do Acumulado no Período</v>
          </cell>
        </row>
        <row r="177">
          <cell r="A177" t="str">
            <v>Período</v>
          </cell>
        </row>
        <row r="178">
          <cell r="A178" t="str">
            <v>Período</v>
          </cell>
        </row>
        <row r="179">
          <cell r="A179" t="str">
            <v>jul-jun/03</v>
          </cell>
        </row>
        <row r="180">
          <cell r="A180" t="str">
            <v>jul-jun/04</v>
          </cell>
        </row>
        <row r="181">
          <cell r="A181" t="str">
            <v>jul-jun/03 x 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SIM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 Circ Tot"/>
      <sheetName val="D Dia Circ"/>
      <sheetName val="D Circ Dia"/>
      <sheetName val="D Circ Reg"/>
      <sheetName val="D VA DS"/>
      <sheetName val="D VA Reg"/>
      <sheetName val="Ind Rec"/>
      <sheetName val="Evol % Mot Cancel"/>
      <sheetName val="Circ BR"/>
      <sheetName val="Circ Prod BR"/>
      <sheetName val="Circ Dias BR"/>
      <sheetName val="Evol Circ BSB"/>
      <sheetName val="Evol Circ DS BSB"/>
      <sheetName val="IVC Comp Circ BSB"/>
      <sheetName val="IVC Comp Circ DS BSB"/>
      <sheetName val="Jorn BSB"/>
      <sheetName val="D As Prod"/>
      <sheetName val="D As Reg"/>
      <sheetName val="D As Fpag"/>
      <sheetName val="D Giro"/>
      <sheetName val="Renov"/>
      <sheetName val="As Can"/>
      <sheetName val="D As Prod (2)"/>
      <sheetName val="D As Reg (2)"/>
      <sheetName val="D As Fpag (2)"/>
      <sheetName val="D Giro-Renov"/>
      <sheetName val="D Vend Can"/>
      <sheetName val="As Reg (2)"/>
      <sheetName val="As Fpag (2)"/>
      <sheetName val="#REF"/>
      <sheetName val="Menu VA"/>
      <sheetName val="Menu VA DS"/>
      <sheetName val="Menu VA Reg"/>
      <sheetName val="Construção"/>
      <sheetName val="VA Enc Tab"/>
      <sheetName val="VA Enc Seg"/>
      <sheetName val="VA Enc Ter"/>
      <sheetName val="VA Enc Qua"/>
      <sheetName val="VA Enc Qui"/>
      <sheetName val="VA Enc Sex"/>
      <sheetName val="VA Enc Sab"/>
      <sheetName val="VA Enc Dom"/>
      <sheetName val="VA Enc TD"/>
      <sheetName val="VA Reg Enc Tab"/>
      <sheetName val="VA Reg Enc AS"/>
      <sheetName val="VA Reg Enc AN"/>
      <sheetName val="VA Reg Enc PP"/>
      <sheetName val="VA Reg Enc Sat"/>
    </sheetNames>
    <sheetDataSet>
      <sheetData sheetId="0">
        <row r="1">
          <cell r="A1" t="str">
            <v>1. Dados de Circulação Total (As, VA e Tot)</v>
          </cell>
        </row>
        <row r="3">
          <cell r="A3" t="str">
            <v>1.1. Circulação</v>
          </cell>
        </row>
        <row r="5">
          <cell r="A5" t="str">
            <v>Mês</v>
          </cell>
        </row>
        <row r="6">
          <cell r="A6">
            <v>33970</v>
          </cell>
        </row>
        <row r="7">
          <cell r="A7">
            <v>34001</v>
          </cell>
          <cell r="F7" t="str">
            <v>-</v>
          </cell>
          <cell r="G7">
            <v>0.126</v>
          </cell>
        </row>
        <row r="8">
          <cell r="A8">
            <v>34029</v>
          </cell>
          <cell r="F8" t="str">
            <v>-</v>
          </cell>
          <cell r="G8">
            <v>0.126</v>
          </cell>
        </row>
        <row r="9">
          <cell r="A9">
            <v>34060</v>
          </cell>
          <cell r="F9" t="str">
            <v>-</v>
          </cell>
          <cell r="G9">
            <v>0.126</v>
          </cell>
        </row>
        <row r="10">
          <cell r="A10">
            <v>34090</v>
          </cell>
          <cell r="F10" t="str">
            <v>-</v>
          </cell>
          <cell r="G10">
            <v>0.126</v>
          </cell>
        </row>
        <row r="11">
          <cell r="A11">
            <v>34121</v>
          </cell>
          <cell r="F11" t="str">
            <v>-</v>
          </cell>
          <cell r="G11">
            <v>0.126</v>
          </cell>
        </row>
        <row r="12">
          <cell r="A12">
            <v>34151</v>
          </cell>
          <cell r="F12" t="str">
            <v>-</v>
          </cell>
          <cell r="G12">
            <v>0.126</v>
          </cell>
        </row>
        <row r="13">
          <cell r="A13">
            <v>34182</v>
          </cell>
          <cell r="F13" t="str">
            <v>-</v>
          </cell>
          <cell r="G13">
            <v>0.126</v>
          </cell>
        </row>
        <row r="14">
          <cell r="A14">
            <v>34213</v>
          </cell>
          <cell r="F14" t="str">
            <v>-</v>
          </cell>
          <cell r="G14">
            <v>0.126</v>
          </cell>
        </row>
        <row r="15">
          <cell r="A15">
            <v>34243</v>
          </cell>
          <cell r="F15" t="str">
            <v>-</v>
          </cell>
          <cell r="G15">
            <v>0.126</v>
          </cell>
        </row>
        <row r="16">
          <cell r="A16">
            <v>34274</v>
          </cell>
          <cell r="F16" t="str">
            <v>-</v>
          </cell>
          <cell r="G16">
            <v>0.126</v>
          </cell>
        </row>
        <row r="17">
          <cell r="A17">
            <v>34304</v>
          </cell>
          <cell r="F17" t="str">
            <v>-</v>
          </cell>
          <cell r="G17">
            <v>0.126</v>
          </cell>
        </row>
        <row r="18">
          <cell r="A18">
            <v>34335</v>
          </cell>
          <cell r="F18" t="str">
            <v>-</v>
          </cell>
          <cell r="G18">
            <v>0.126</v>
          </cell>
        </row>
        <row r="19">
          <cell r="A19">
            <v>34366</v>
          </cell>
          <cell r="F19" t="str">
            <v>-</v>
          </cell>
          <cell r="G19">
            <v>0.126</v>
          </cell>
        </row>
        <row r="20">
          <cell r="A20">
            <v>34394</v>
          </cell>
          <cell r="F20" t="str">
            <v>-</v>
          </cell>
          <cell r="G20">
            <v>0.126</v>
          </cell>
        </row>
        <row r="21">
          <cell r="A21">
            <v>34425</v>
          </cell>
          <cell r="F21" t="str">
            <v>-</v>
          </cell>
          <cell r="G21">
            <v>0.126</v>
          </cell>
        </row>
        <row r="22">
          <cell r="A22">
            <v>34455</v>
          </cell>
          <cell r="F22" t="str">
            <v>-</v>
          </cell>
          <cell r="G22">
            <v>0.126</v>
          </cell>
        </row>
        <row r="23">
          <cell r="A23">
            <v>34486</v>
          </cell>
          <cell r="F23" t="str">
            <v>-</v>
          </cell>
          <cell r="G23">
            <v>0.126</v>
          </cell>
        </row>
        <row r="24">
          <cell r="A24">
            <v>34516</v>
          </cell>
          <cell r="F24" t="str">
            <v>-</v>
          </cell>
          <cell r="G24">
            <v>0.126</v>
          </cell>
        </row>
        <row r="25">
          <cell r="A25">
            <v>34547</v>
          </cell>
          <cell r="F25" t="str">
            <v>-</v>
          </cell>
          <cell r="G25">
            <v>0.126</v>
          </cell>
        </row>
        <row r="26">
          <cell r="A26">
            <v>34578</v>
          </cell>
          <cell r="F26" t="str">
            <v>-</v>
          </cell>
          <cell r="G26">
            <v>0.126</v>
          </cell>
        </row>
        <row r="27">
          <cell r="A27">
            <v>34608</v>
          </cell>
          <cell r="F27" t="str">
            <v>-</v>
          </cell>
          <cell r="G27">
            <v>0.126</v>
          </cell>
        </row>
        <row r="28">
          <cell r="A28">
            <v>34639</v>
          </cell>
          <cell r="F28" t="str">
            <v>-</v>
          </cell>
          <cell r="G28">
            <v>0.126</v>
          </cell>
        </row>
        <row r="29">
          <cell r="A29">
            <v>34669</v>
          </cell>
          <cell r="F29" t="str">
            <v>-</v>
          </cell>
          <cell r="G29">
            <v>0.126</v>
          </cell>
        </row>
        <row r="30">
          <cell r="A30">
            <v>34700</v>
          </cell>
          <cell r="F30" t="str">
            <v>-</v>
          </cell>
          <cell r="G30">
            <v>0.126</v>
          </cell>
        </row>
        <row r="31">
          <cell r="A31">
            <v>34731</v>
          </cell>
          <cell r="F31" t="str">
            <v>-</v>
          </cell>
          <cell r="G31">
            <v>0.126</v>
          </cell>
        </row>
        <row r="32">
          <cell r="A32">
            <v>34759</v>
          </cell>
          <cell r="F32" t="str">
            <v>-</v>
          </cell>
          <cell r="G32">
            <v>0.126</v>
          </cell>
        </row>
        <row r="33">
          <cell r="A33">
            <v>34790</v>
          </cell>
          <cell r="F33" t="str">
            <v>-</v>
          </cell>
          <cell r="G33">
            <v>0.126</v>
          </cell>
        </row>
        <row r="34">
          <cell r="A34">
            <v>34820</v>
          </cell>
          <cell r="F34" t="str">
            <v>-</v>
          </cell>
          <cell r="G34">
            <v>0.126</v>
          </cell>
        </row>
        <row r="35">
          <cell r="A35">
            <v>34851</v>
          </cell>
          <cell r="F35" t="str">
            <v>-</v>
          </cell>
          <cell r="G35">
            <v>0.126</v>
          </cell>
        </row>
        <row r="36">
          <cell r="A36">
            <v>34881</v>
          </cell>
          <cell r="F36" t="str">
            <v>-</v>
          </cell>
          <cell r="G36">
            <v>0.126</v>
          </cell>
        </row>
        <row r="37">
          <cell r="A37">
            <v>34912</v>
          </cell>
          <cell r="F37" t="str">
            <v>-</v>
          </cell>
          <cell r="G37">
            <v>0.126</v>
          </cell>
        </row>
        <row r="38">
          <cell r="A38">
            <v>34943</v>
          </cell>
          <cell r="F38" t="str">
            <v>-</v>
          </cell>
          <cell r="G38">
            <v>0.126</v>
          </cell>
        </row>
        <row r="39">
          <cell r="A39">
            <v>34973</v>
          </cell>
          <cell r="F39" t="str">
            <v>-</v>
          </cell>
          <cell r="G39">
            <v>0.126</v>
          </cell>
        </row>
        <row r="40">
          <cell r="A40">
            <v>35004</v>
          </cell>
          <cell r="F40" t="str">
            <v>-</v>
          </cell>
          <cell r="G40">
            <v>0.126</v>
          </cell>
        </row>
        <row r="41">
          <cell r="A41">
            <v>35034</v>
          </cell>
          <cell r="F41" t="str">
            <v>-</v>
          </cell>
          <cell r="G41">
            <v>0.126</v>
          </cell>
        </row>
        <row r="42">
          <cell r="A42">
            <v>35065</v>
          </cell>
          <cell r="F42" t="str">
            <v>-</v>
          </cell>
          <cell r="G42">
            <v>0.126</v>
          </cell>
        </row>
        <row r="43">
          <cell r="A43">
            <v>35096</v>
          </cell>
          <cell r="F43" t="str">
            <v>-</v>
          </cell>
          <cell r="G43">
            <v>0.126</v>
          </cell>
        </row>
        <row r="44">
          <cell r="A44">
            <v>35125</v>
          </cell>
          <cell r="F44" t="str">
            <v>-</v>
          </cell>
          <cell r="G44">
            <v>0.126</v>
          </cell>
        </row>
        <row r="45">
          <cell r="A45">
            <v>35156</v>
          </cell>
          <cell r="F45" t="str">
            <v>-</v>
          </cell>
          <cell r="G45">
            <v>0.126</v>
          </cell>
        </row>
        <row r="46">
          <cell r="A46">
            <v>35186</v>
          </cell>
          <cell r="F46" t="str">
            <v>-</v>
          </cell>
          <cell r="G46">
            <v>0.126</v>
          </cell>
        </row>
        <row r="47">
          <cell r="A47">
            <v>35217</v>
          </cell>
          <cell r="F47" t="str">
            <v>-</v>
          </cell>
          <cell r="G47">
            <v>0.126</v>
          </cell>
        </row>
        <row r="48">
          <cell r="A48">
            <v>35247</v>
          </cell>
          <cell r="F48" t="str">
            <v>-</v>
          </cell>
          <cell r="G48">
            <v>0.126</v>
          </cell>
        </row>
        <row r="49">
          <cell r="A49">
            <v>35278</v>
          </cell>
          <cell r="F49" t="str">
            <v>-</v>
          </cell>
          <cell r="G49">
            <v>0.126</v>
          </cell>
        </row>
        <row r="50">
          <cell r="A50">
            <v>35309</v>
          </cell>
          <cell r="F50" t="str">
            <v>-</v>
          </cell>
          <cell r="G50">
            <v>0.126</v>
          </cell>
        </row>
        <row r="51">
          <cell r="A51">
            <v>35339</v>
          </cell>
          <cell r="F51" t="str">
            <v>-</v>
          </cell>
          <cell r="G51">
            <v>0.126</v>
          </cell>
        </row>
        <row r="52">
          <cell r="A52">
            <v>35370</v>
          </cell>
          <cell r="F52" t="str">
            <v>-</v>
          </cell>
          <cell r="G52">
            <v>0.126</v>
          </cell>
        </row>
        <row r="53">
          <cell r="A53">
            <v>35400</v>
          </cell>
          <cell r="F53" t="str">
            <v>-</v>
          </cell>
          <cell r="G53">
            <v>0.126</v>
          </cell>
        </row>
        <row r="54">
          <cell r="A54">
            <v>35431</v>
          </cell>
          <cell r="F54">
            <v>0.10151915165055853</v>
          </cell>
          <cell r="G54">
            <v>0.126</v>
          </cell>
        </row>
        <row r="55">
          <cell r="A55">
            <v>35462</v>
          </cell>
          <cell r="F55">
            <v>0.10901264142156164</v>
          </cell>
          <cell r="G55">
            <v>0.126</v>
          </cell>
        </row>
        <row r="56">
          <cell r="A56">
            <v>35490</v>
          </cell>
          <cell r="F56">
            <v>0.12387287260477377</v>
          </cell>
          <cell r="G56">
            <v>0.126</v>
          </cell>
        </row>
        <row r="57">
          <cell r="A57">
            <v>35521</v>
          </cell>
          <cell r="F57">
            <v>0.11245426298078272</v>
          </cell>
          <cell r="G57">
            <v>0.126</v>
          </cell>
        </row>
        <row r="58">
          <cell r="A58">
            <v>35551</v>
          </cell>
          <cell r="F58">
            <v>0.1435422231825243</v>
          </cell>
          <cell r="G58">
            <v>0.126</v>
          </cell>
        </row>
        <row r="59">
          <cell r="A59">
            <v>35582</v>
          </cell>
          <cell r="F59">
            <v>0.11980738623670016</v>
          </cell>
          <cell r="G59">
            <v>0.126</v>
          </cell>
        </row>
        <row r="60">
          <cell r="A60">
            <v>35612</v>
          </cell>
          <cell r="F60">
            <v>0.10881852675650923</v>
          </cell>
          <cell r="G60">
            <v>0.126</v>
          </cell>
        </row>
        <row r="61">
          <cell r="A61">
            <v>35643</v>
          </cell>
          <cell r="F61">
            <v>0.12706327360655442</v>
          </cell>
          <cell r="G61">
            <v>0.126</v>
          </cell>
        </row>
        <row r="62">
          <cell r="A62">
            <v>35674</v>
          </cell>
          <cell r="F62">
            <v>0.10051100035319462</v>
          </cell>
          <cell r="G62">
            <v>0.126</v>
          </cell>
        </row>
        <row r="63">
          <cell r="A63">
            <v>35704</v>
          </cell>
        </row>
        <row r="64">
          <cell r="A64">
            <v>35735</v>
          </cell>
        </row>
        <row r="65">
          <cell r="A65">
            <v>35765</v>
          </cell>
        </row>
        <row r="66">
          <cell r="A66">
            <v>35796</v>
          </cell>
        </row>
        <row r="67">
          <cell r="A67">
            <v>35827</v>
          </cell>
        </row>
        <row r="68">
          <cell r="A68">
            <v>35855</v>
          </cell>
        </row>
        <row r="69">
          <cell r="A69">
            <v>35886</v>
          </cell>
        </row>
        <row r="70">
          <cell r="A70">
            <v>35916</v>
          </cell>
        </row>
        <row r="71">
          <cell r="A71">
            <v>35947</v>
          </cell>
        </row>
        <row r="72">
          <cell r="A72">
            <v>35977</v>
          </cell>
        </row>
        <row r="73">
          <cell r="A73">
            <v>36008</v>
          </cell>
        </row>
        <row r="74">
          <cell r="A74">
            <v>36039</v>
          </cell>
        </row>
        <row r="75">
          <cell r="A75">
            <v>36069</v>
          </cell>
        </row>
        <row r="76">
          <cell r="A76">
            <v>36100</v>
          </cell>
        </row>
        <row r="77">
          <cell r="A77">
            <v>36130</v>
          </cell>
        </row>
        <row r="78">
          <cell r="A78">
            <v>36161</v>
          </cell>
        </row>
        <row r="79">
          <cell r="A79">
            <v>36192</v>
          </cell>
        </row>
        <row r="80">
          <cell r="A80">
            <v>36220</v>
          </cell>
        </row>
        <row r="81">
          <cell r="A81">
            <v>36251</v>
          </cell>
        </row>
        <row r="82">
          <cell r="A82">
            <v>36281</v>
          </cell>
        </row>
        <row r="83">
          <cell r="A83">
            <v>36312</v>
          </cell>
        </row>
        <row r="84">
          <cell r="A84">
            <v>36342</v>
          </cell>
        </row>
        <row r="85">
          <cell r="A85">
            <v>36373</v>
          </cell>
        </row>
        <row r="86">
          <cell r="A86">
            <v>36404</v>
          </cell>
        </row>
        <row r="87">
          <cell r="A87">
            <v>36434</v>
          </cell>
        </row>
        <row r="88">
          <cell r="A88">
            <v>36465</v>
          </cell>
        </row>
        <row r="89">
          <cell r="A89">
            <v>36495</v>
          </cell>
        </row>
        <row r="90">
          <cell r="A90">
            <v>36526</v>
          </cell>
        </row>
        <row r="91">
          <cell r="A91">
            <v>36557</v>
          </cell>
        </row>
        <row r="92">
          <cell r="A92">
            <v>36586</v>
          </cell>
        </row>
        <row r="93">
          <cell r="A93">
            <v>36617</v>
          </cell>
        </row>
        <row r="94">
          <cell r="A94">
            <v>36647</v>
          </cell>
        </row>
        <row r="95">
          <cell r="A95">
            <v>36678</v>
          </cell>
        </row>
        <row r="96">
          <cell r="A96">
            <v>36708</v>
          </cell>
        </row>
        <row r="97">
          <cell r="A97">
            <v>36739</v>
          </cell>
        </row>
        <row r="98">
          <cell r="A98">
            <v>36770</v>
          </cell>
        </row>
        <row r="99">
          <cell r="A99">
            <v>36800</v>
          </cell>
        </row>
        <row r="100">
          <cell r="A100">
            <v>36831</v>
          </cell>
        </row>
        <row r="101">
          <cell r="A101">
            <v>36861</v>
          </cell>
        </row>
        <row r="102">
          <cell r="A102">
            <v>36892</v>
          </cell>
        </row>
        <row r="103">
          <cell r="A103">
            <v>36923</v>
          </cell>
        </row>
        <row r="104">
          <cell r="A104">
            <v>36951</v>
          </cell>
        </row>
        <row r="105">
          <cell r="A105">
            <v>36982</v>
          </cell>
        </row>
        <row r="106">
          <cell r="A106">
            <v>37012</v>
          </cell>
        </row>
        <row r="107">
          <cell r="A107">
            <v>37043</v>
          </cell>
        </row>
        <row r="108">
          <cell r="A108">
            <v>37073</v>
          </cell>
        </row>
        <row r="109">
          <cell r="A109">
            <v>37104</v>
          </cell>
        </row>
        <row r="110">
          <cell r="A110">
            <v>37135</v>
          </cell>
        </row>
        <row r="111">
          <cell r="A111">
            <v>37165</v>
          </cell>
        </row>
        <row r="112">
          <cell r="A112">
            <v>37196</v>
          </cell>
        </row>
        <row r="113">
          <cell r="A113">
            <v>37226</v>
          </cell>
        </row>
        <row r="114">
          <cell r="A114">
            <v>37257</v>
          </cell>
        </row>
        <row r="115">
          <cell r="A115">
            <v>37288</v>
          </cell>
        </row>
        <row r="116">
          <cell r="A116">
            <v>37316</v>
          </cell>
        </row>
        <row r="117">
          <cell r="A117">
            <v>37347</v>
          </cell>
        </row>
        <row r="118">
          <cell r="A118">
            <v>37377</v>
          </cell>
        </row>
        <row r="119">
          <cell r="A119">
            <v>37408</v>
          </cell>
        </row>
        <row r="120">
          <cell r="A120">
            <v>37438</v>
          </cell>
        </row>
        <row r="121">
          <cell r="A121">
            <v>37469</v>
          </cell>
        </row>
        <row r="122">
          <cell r="A122">
            <v>37500</v>
          </cell>
        </row>
        <row r="123">
          <cell r="A123">
            <v>37530</v>
          </cell>
        </row>
        <row r="124">
          <cell r="A124">
            <v>37561</v>
          </cell>
        </row>
        <row r="125">
          <cell r="A125">
            <v>37591</v>
          </cell>
        </row>
        <row r="126">
          <cell r="A126">
            <v>37622</v>
          </cell>
        </row>
        <row r="127">
          <cell r="A127">
            <v>37653</v>
          </cell>
        </row>
        <row r="128">
          <cell r="A128">
            <v>37681</v>
          </cell>
        </row>
        <row r="129">
          <cell r="A129">
            <v>37712</v>
          </cell>
        </row>
        <row r="130">
          <cell r="A130">
            <v>37742</v>
          </cell>
        </row>
        <row r="131">
          <cell r="A131">
            <v>37773</v>
          </cell>
        </row>
        <row r="132">
          <cell r="A132">
            <v>37803</v>
          </cell>
        </row>
        <row r="133">
          <cell r="A133">
            <v>37834</v>
          </cell>
        </row>
        <row r="134">
          <cell r="A134">
            <v>37865</v>
          </cell>
        </row>
        <row r="135">
          <cell r="A135">
            <v>37895</v>
          </cell>
        </row>
        <row r="136">
          <cell r="A136">
            <v>37926</v>
          </cell>
        </row>
        <row r="137">
          <cell r="A137">
            <v>37956</v>
          </cell>
        </row>
        <row r="138">
          <cell r="A138">
            <v>37987</v>
          </cell>
        </row>
        <row r="139">
          <cell r="A139">
            <v>38018</v>
          </cell>
        </row>
        <row r="140">
          <cell r="A140">
            <v>38047</v>
          </cell>
        </row>
        <row r="141">
          <cell r="A141">
            <v>38078</v>
          </cell>
        </row>
        <row r="142">
          <cell r="A142">
            <v>38108</v>
          </cell>
        </row>
        <row r="143">
          <cell r="A143">
            <v>38139</v>
          </cell>
        </row>
        <row r="144">
          <cell r="A144">
            <v>38169</v>
          </cell>
        </row>
        <row r="145">
          <cell r="A145">
            <v>38200</v>
          </cell>
        </row>
        <row r="146">
          <cell r="A146">
            <v>38231</v>
          </cell>
        </row>
        <row r="147">
          <cell r="A147">
            <v>35582</v>
          </cell>
        </row>
        <row r="148">
          <cell r="A148" t="str">
            <v>1.1.1. Evolução Anual (CGAR)</v>
          </cell>
        </row>
        <row r="149">
          <cell r="A149">
            <v>35643</v>
          </cell>
        </row>
        <row r="150">
          <cell r="A150" t="str">
            <v>Ano</v>
          </cell>
        </row>
        <row r="151">
          <cell r="A151" t="str">
            <v>1993</v>
          </cell>
        </row>
        <row r="152">
          <cell r="A152" t="str">
            <v>1994</v>
          </cell>
        </row>
        <row r="153">
          <cell r="A153" t="str">
            <v>1995</v>
          </cell>
        </row>
        <row r="154">
          <cell r="A154" t="str">
            <v>1996</v>
          </cell>
        </row>
        <row r="155">
          <cell r="A155" t="str">
            <v>1997</v>
          </cell>
        </row>
        <row r="156">
          <cell r="A156" t="str">
            <v>1998</v>
          </cell>
        </row>
        <row r="157">
          <cell r="A157" t="str">
            <v>1999</v>
          </cell>
        </row>
        <row r="158">
          <cell r="A158" t="str">
            <v>2000</v>
          </cell>
        </row>
        <row r="159">
          <cell r="A159" t="str">
            <v>2001</v>
          </cell>
        </row>
        <row r="160">
          <cell r="A160" t="str">
            <v>2002</v>
          </cell>
        </row>
        <row r="161">
          <cell r="A161" t="str">
            <v>2003</v>
          </cell>
        </row>
        <row r="162">
          <cell r="A162" t="str">
            <v>CGAR</v>
          </cell>
        </row>
        <row r="163">
          <cell r="A163" t="str">
            <v>Nov/97 - Out/98</v>
          </cell>
        </row>
        <row r="164">
          <cell r="A164">
            <v>37987</v>
          </cell>
        </row>
        <row r="165">
          <cell r="A165" t="str">
            <v>Jan/98 - Dez/98</v>
          </cell>
        </row>
        <row r="166">
          <cell r="A166" t="str">
            <v>Fev/98 - Jan/99</v>
          </cell>
        </row>
        <row r="167">
          <cell r="A167" t="str">
            <v>1.1.2. Comparativos Mês x Mês</v>
          </cell>
        </row>
        <row r="168">
          <cell r="A168" t="str">
            <v>Abr/98 - Mar/99</v>
          </cell>
        </row>
        <row r="169">
          <cell r="A169" t="str">
            <v>Período</v>
          </cell>
        </row>
        <row r="170">
          <cell r="A170" t="str">
            <v>Jun/04 x Mai/04</v>
          </cell>
        </row>
        <row r="171">
          <cell r="A171" t="str">
            <v>Jun/04 x Jun/03</v>
          </cell>
        </row>
        <row r="172">
          <cell r="A172" t="str">
            <v>Ago/98 - Jul/99</v>
          </cell>
        </row>
        <row r="173">
          <cell r="A173" t="str">
            <v>Set/98 - Ago/99</v>
          </cell>
        </row>
        <row r="174">
          <cell r="A174" t="str">
            <v>1.1.3. Comparativo do Acumulado no Período</v>
          </cell>
        </row>
        <row r="175">
          <cell r="A175" t="str">
            <v>Nov/98 - Out/99</v>
          </cell>
        </row>
        <row r="176">
          <cell r="A176" t="str">
            <v>Período</v>
          </cell>
        </row>
        <row r="177">
          <cell r="A177" t="str">
            <v>jul-jun/03</v>
          </cell>
        </row>
        <row r="178">
          <cell r="A178" t="str">
            <v>jul-jun/04</v>
          </cell>
        </row>
        <row r="179">
          <cell r="A179" t="str">
            <v>jul-jun/03 x 04</v>
          </cell>
        </row>
        <row r="180">
          <cell r="A180" t="str">
            <v>Abr/99 - Mar/00</v>
          </cell>
        </row>
        <row r="181">
          <cell r="A181" t="str">
            <v>Mai/99 - Abr/00</v>
          </cell>
        </row>
        <row r="182">
          <cell r="A182" t="str">
            <v>1.2. Evolução da Média Móvel de Circulação Paga</v>
          </cell>
        </row>
        <row r="183">
          <cell r="A183" t="str">
            <v>Jul/99 - Jun/00</v>
          </cell>
        </row>
        <row r="184">
          <cell r="A184" t="str">
            <v>Período</v>
          </cell>
        </row>
        <row r="185">
          <cell r="A185">
            <v>35431</v>
          </cell>
        </row>
        <row r="186">
          <cell r="A186">
            <v>35462</v>
          </cell>
        </row>
        <row r="187">
          <cell r="A187">
            <v>35490</v>
          </cell>
        </row>
        <row r="188">
          <cell r="A188">
            <v>35521</v>
          </cell>
        </row>
        <row r="189">
          <cell r="A189">
            <v>35551</v>
          </cell>
        </row>
        <row r="190">
          <cell r="A190">
            <v>35582</v>
          </cell>
        </row>
        <row r="191">
          <cell r="A191">
            <v>35612</v>
          </cell>
        </row>
        <row r="192">
          <cell r="A192">
            <v>35643</v>
          </cell>
        </row>
        <row r="193">
          <cell r="A193">
            <v>35674</v>
          </cell>
        </row>
        <row r="194">
          <cell r="A194">
            <v>35704</v>
          </cell>
        </row>
        <row r="195">
          <cell r="A195">
            <v>35735</v>
          </cell>
        </row>
        <row r="196">
          <cell r="A196">
            <v>35765</v>
          </cell>
        </row>
        <row r="197">
          <cell r="A197" t="str">
            <v>Fev/97 - Jan/98</v>
          </cell>
        </row>
        <row r="198">
          <cell r="A198" t="str">
            <v>Mar/97 - Fev/98</v>
          </cell>
        </row>
        <row r="199">
          <cell r="A199" t="str">
            <v>Abr/97 - Mar/98</v>
          </cell>
        </row>
        <row r="200">
          <cell r="A200" t="str">
            <v>Mai/97 - Abr/98</v>
          </cell>
        </row>
        <row r="201">
          <cell r="A201" t="str">
            <v>Jun/97 - Mai/98</v>
          </cell>
        </row>
        <row r="202">
          <cell r="A202" t="str">
            <v>Jul/97 - Jun/98</v>
          </cell>
        </row>
        <row r="203">
          <cell r="A203" t="str">
            <v>Ago/97 - Jul/98</v>
          </cell>
        </row>
        <row r="204">
          <cell r="A204" t="str">
            <v>Set/97 - Ago/98</v>
          </cell>
        </row>
        <row r="205">
          <cell r="A205" t="str">
            <v>Out/97 - Set/98</v>
          </cell>
        </row>
        <row r="206">
          <cell r="A206" t="str">
            <v>Nov/97 - Out/98</v>
          </cell>
        </row>
        <row r="207">
          <cell r="A207" t="str">
            <v>Dez/97 - Nov/98</v>
          </cell>
        </row>
        <row r="208">
          <cell r="A208" t="str">
            <v>Jan/98 - Dez/98</v>
          </cell>
        </row>
        <row r="209">
          <cell r="A209" t="str">
            <v>Fev/98 - Jan/99</v>
          </cell>
        </row>
        <row r="210">
          <cell r="A210" t="str">
            <v>Mar/98 - Fev/99</v>
          </cell>
        </row>
        <row r="211">
          <cell r="A211" t="str">
            <v>Abr/98 - Mar/99</v>
          </cell>
        </row>
        <row r="212">
          <cell r="A212" t="str">
            <v>Mai/98 - Abr/99</v>
          </cell>
        </row>
        <row r="213">
          <cell r="A213" t="str">
            <v>Jun/98 - Mai/99</v>
          </cell>
        </row>
        <row r="214">
          <cell r="A214" t="str">
            <v>Jul/98 - Jun/99</v>
          </cell>
        </row>
        <row r="215">
          <cell r="A215" t="str">
            <v>Ago/98 - Jul/99</v>
          </cell>
        </row>
        <row r="216">
          <cell r="A216" t="str">
            <v>Set/98 - Ago/99</v>
          </cell>
        </row>
        <row r="217">
          <cell r="A217" t="str">
            <v>Out/98 - Set/99</v>
          </cell>
        </row>
        <row r="218">
          <cell r="A218" t="str">
            <v>Nov/98 - Out/99</v>
          </cell>
        </row>
        <row r="219">
          <cell r="A219" t="str">
            <v>Dez/98 - Nov/99</v>
          </cell>
        </row>
        <row r="220">
          <cell r="A220" t="str">
            <v>Jan/99 - Dez/99</v>
          </cell>
        </row>
        <row r="221">
          <cell r="A221" t="str">
            <v>Fev/99 - Jan/00</v>
          </cell>
        </row>
        <row r="222">
          <cell r="A222" t="str">
            <v>Mar/99 - Fev/00</v>
          </cell>
        </row>
        <row r="223">
          <cell r="A223" t="str">
            <v>Abr/99 - Mar/00</v>
          </cell>
        </row>
        <row r="224">
          <cell r="A224" t="str">
            <v>Mai/99 - Abr/00</v>
          </cell>
        </row>
        <row r="225">
          <cell r="A225" t="str">
            <v>Jun/99 - Mai/00</v>
          </cell>
        </row>
        <row r="226">
          <cell r="A226" t="str">
            <v>Jul/99 - Jun/00</v>
          </cell>
        </row>
        <row r="227">
          <cell r="A227" t="str">
            <v>Ago/99 - Jul/00</v>
          </cell>
        </row>
        <row r="228">
          <cell r="A228" t="str">
            <v>Set/99 - Ago/00</v>
          </cell>
        </row>
        <row r="229">
          <cell r="A229" t="str">
            <v>Out/99 - Set/00</v>
          </cell>
        </row>
        <row r="230">
          <cell r="A230" t="str">
            <v>Nov/99 - Out/00</v>
          </cell>
        </row>
        <row r="231">
          <cell r="A231" t="str">
            <v>Dez/99 - Nov/00</v>
          </cell>
        </row>
        <row r="232">
          <cell r="A232" t="str">
            <v>Jan/00 - Dez/00</v>
          </cell>
        </row>
        <row r="233">
          <cell r="A233" t="str">
            <v>Fev/00 - Jan/01</v>
          </cell>
        </row>
        <row r="234">
          <cell r="A234" t="str">
            <v>Mar/00 - Fev/01</v>
          </cell>
        </row>
        <row r="235">
          <cell r="A235" t="str">
            <v>Abr/00 - Mar/01</v>
          </cell>
        </row>
        <row r="236">
          <cell r="A236" t="str">
            <v>Mai/00 - Abr/01</v>
          </cell>
        </row>
        <row r="237">
          <cell r="A237" t="str">
            <v>Jun/00 - Mai/01</v>
          </cell>
        </row>
        <row r="238">
          <cell r="A238" t="str">
            <v>Jul/00 - Jun/01</v>
          </cell>
        </row>
        <row r="239">
          <cell r="A239" t="str">
            <v>Ago/00 - Jul/01</v>
          </cell>
        </row>
        <row r="240">
          <cell r="A240" t="str">
            <v>Set/00 - Ago/01</v>
          </cell>
        </row>
        <row r="241">
          <cell r="A241" t="str">
            <v>Out/00 - Set/01</v>
          </cell>
        </row>
        <row r="242">
          <cell r="A242" t="str">
            <v>Nov/00 - Out/01</v>
          </cell>
        </row>
        <row r="243">
          <cell r="A243" t="str">
            <v>Dez/00 - Nov/01</v>
          </cell>
        </row>
        <row r="244">
          <cell r="A244" t="str">
            <v>Jan/01 - Dez/01</v>
          </cell>
        </row>
        <row r="245">
          <cell r="A245" t="str">
            <v>Fev/01 - Jan/02</v>
          </cell>
        </row>
        <row r="246">
          <cell r="A246" t="str">
            <v>Mar/01 - Fev/02</v>
          </cell>
        </row>
        <row r="247">
          <cell r="A247" t="str">
            <v>Abr/01 - Mar/02</v>
          </cell>
        </row>
        <row r="248">
          <cell r="A248" t="str">
            <v>Mai/01 -Abr/02</v>
          </cell>
        </row>
        <row r="249">
          <cell r="A249" t="str">
            <v>Jun/01 -Mai/02</v>
          </cell>
        </row>
        <row r="250">
          <cell r="A250" t="str">
            <v>Jul/01 -Jun/02</v>
          </cell>
        </row>
        <row r="251">
          <cell r="A251" t="str">
            <v>Ago/01 -Jul/02</v>
          </cell>
        </row>
        <row r="252">
          <cell r="A252" t="str">
            <v>Set/01 -Ago/02</v>
          </cell>
        </row>
        <row r="253">
          <cell r="A253" t="str">
            <v>Out/01 -Set/02</v>
          </cell>
        </row>
        <row r="254">
          <cell r="A254" t="str">
            <v>Nov/01 -Out/02</v>
          </cell>
        </row>
        <row r="255">
          <cell r="A255" t="str">
            <v>Dez/01 -Nov/02</v>
          </cell>
        </row>
        <row r="256">
          <cell r="A256" t="str">
            <v>Jan/02 -Dez/02</v>
          </cell>
        </row>
        <row r="257">
          <cell r="A257" t="str">
            <v>Fev/02 -Jan/03</v>
          </cell>
        </row>
        <row r="258">
          <cell r="A258" t="str">
            <v>Mar/02 -Fev/03</v>
          </cell>
        </row>
        <row r="259">
          <cell r="A259" t="str">
            <v>Abr/02 -Mar/03</v>
          </cell>
        </row>
        <row r="260">
          <cell r="A260" t="str">
            <v>Mai/02 -Abr/03</v>
          </cell>
        </row>
        <row r="261">
          <cell r="A261" t="str">
            <v>Jun/02 -Mai/03</v>
          </cell>
        </row>
        <row r="262">
          <cell r="A262" t="str">
            <v>Jul/02 -Jun/03</v>
          </cell>
        </row>
        <row r="263">
          <cell r="A263" t="str">
            <v>Ago/02 -Jul/03</v>
          </cell>
        </row>
        <row r="264">
          <cell r="A264" t="str">
            <v>Set/02 -Ago/03</v>
          </cell>
        </row>
        <row r="265">
          <cell r="A265" t="str">
            <v>Out/02 -Set/03</v>
          </cell>
        </row>
        <row r="266">
          <cell r="A266" t="str">
            <v>Nov/02 -Out/03</v>
          </cell>
        </row>
        <row r="267">
          <cell r="A267" t="str">
            <v>Dez/02 -Nov/03</v>
          </cell>
        </row>
        <row r="268">
          <cell r="A268" t="str">
            <v>Jan/03 -Dez/03</v>
          </cell>
        </row>
        <row r="269">
          <cell r="A269" t="str">
            <v>Fev/03 -Jan/04</v>
          </cell>
        </row>
        <row r="270">
          <cell r="A270" t="str">
            <v>Mar/03 -Fev/04</v>
          </cell>
        </row>
        <row r="271">
          <cell r="A271" t="str">
            <v>Abr/03 -Mar/04</v>
          </cell>
        </row>
        <row r="272">
          <cell r="A272" t="str">
            <v>Mai/03 -Abr/04</v>
          </cell>
        </row>
        <row r="273">
          <cell r="A273" t="str">
            <v>Jun/03 -Mai/04</v>
          </cell>
        </row>
        <row r="274">
          <cell r="A274" t="str">
            <v>Jul/03 -jun/04</v>
          </cell>
        </row>
        <row r="275">
          <cell r="A275" t="str">
            <v>Jun/03 -Mai/04</v>
          </cell>
        </row>
        <row r="276">
          <cell r="A276" t="str">
            <v>Jul/03 -jun/04</v>
          </cell>
        </row>
        <row r="277">
          <cell r="A277" t="str">
            <v>Jan/02 -Dez/02</v>
          </cell>
        </row>
        <row r="278">
          <cell r="A278" t="str">
            <v>Fev/02 -Jan/03</v>
          </cell>
        </row>
        <row r="279">
          <cell r="A279" t="str">
            <v>Mar/02 -Fev/03</v>
          </cell>
        </row>
        <row r="280">
          <cell r="A280" t="str">
            <v>Abr/02 -Mar/03</v>
          </cell>
        </row>
        <row r="281">
          <cell r="A281" t="str">
            <v>Mai/02 -Abr/03</v>
          </cell>
        </row>
        <row r="282">
          <cell r="A282" t="str">
            <v>Jun/02 -Mai/03</v>
          </cell>
        </row>
        <row r="283">
          <cell r="A283" t="str">
            <v>Jul/02 -Jun/03</v>
          </cell>
        </row>
        <row r="284">
          <cell r="A284" t="str">
            <v>Ago/02 -Jul/03</v>
          </cell>
        </row>
        <row r="285">
          <cell r="A285" t="str">
            <v>Set/02 -Ago/03</v>
          </cell>
        </row>
        <row r="286">
          <cell r="A286" t="str">
            <v>Out/02 -Set/03</v>
          </cell>
        </row>
        <row r="287">
          <cell r="A287" t="str">
            <v>Nov/02 -Out/03</v>
          </cell>
        </row>
        <row r="288">
          <cell r="A288" t="str">
            <v>Dez/02 -Nov/03</v>
          </cell>
        </row>
        <row r="289">
          <cell r="A289" t="str">
            <v>Jan/03 -Dez/03</v>
          </cell>
        </row>
        <row r="290">
          <cell r="A290" t="str">
            <v>Fev/03 -Jan/04</v>
          </cell>
        </row>
        <row r="291">
          <cell r="A291" t="str">
            <v>Mar/03 -Fev/04</v>
          </cell>
        </row>
        <row r="292">
          <cell r="A292" t="str">
            <v>Abr/03 -Mar/04</v>
          </cell>
        </row>
        <row r="293">
          <cell r="A293" t="str">
            <v>Mai/03 -Abr/04</v>
          </cell>
        </row>
        <row r="294">
          <cell r="A294" t="str">
            <v>Jun/03 -Mai/04</v>
          </cell>
        </row>
        <row r="295">
          <cell r="A295" t="str">
            <v>Jul/03 -jun/04</v>
          </cell>
        </row>
      </sheetData>
      <sheetData sheetId="2">
        <row r="1">
          <cell r="A1" t="str">
            <v>3. Dados dos produtos de Circulação por Dia da Semana</v>
          </cell>
        </row>
        <row r="3">
          <cell r="A3" t="str">
            <v>3.1. Circulação</v>
          </cell>
        </row>
        <row r="5">
          <cell r="A5" t="str">
            <v>Mês</v>
          </cell>
        </row>
        <row r="6">
          <cell r="A6">
            <v>33695</v>
          </cell>
        </row>
        <row r="7">
          <cell r="A7">
            <v>33725</v>
          </cell>
        </row>
        <row r="8">
          <cell r="A8">
            <v>33756</v>
          </cell>
        </row>
        <row r="9">
          <cell r="A9">
            <v>33786</v>
          </cell>
          <cell r="B9">
            <v>23454</v>
          </cell>
        </row>
        <row r="10">
          <cell r="A10">
            <v>33817</v>
          </cell>
          <cell r="C10">
            <v>28079</v>
          </cell>
          <cell r="D10">
            <v>27748</v>
          </cell>
          <cell r="E10">
            <v>36388</v>
          </cell>
          <cell r="F10">
            <v>27849</v>
          </cell>
          <cell r="G10">
            <v>34788</v>
          </cell>
          <cell r="H10">
            <v>62356</v>
          </cell>
          <cell r="K10">
            <v>33817</v>
          </cell>
          <cell r="L10">
            <v>17195</v>
          </cell>
          <cell r="M10">
            <v>20915</v>
          </cell>
          <cell r="N10">
            <v>20542</v>
          </cell>
          <cell r="O10">
            <v>29162</v>
          </cell>
          <cell r="P10">
            <v>20599</v>
          </cell>
          <cell r="Q10">
            <v>27602</v>
          </cell>
          <cell r="R10">
            <v>55162</v>
          </cell>
          <cell r="U10">
            <v>33817</v>
          </cell>
          <cell r="V10">
            <v>7228</v>
          </cell>
          <cell r="W10">
            <v>7164</v>
          </cell>
          <cell r="X10">
            <v>7206</v>
          </cell>
          <cell r="Y10">
            <v>7226</v>
          </cell>
          <cell r="Z10">
            <v>7250</v>
          </cell>
          <cell r="AA10">
            <v>7186</v>
          </cell>
          <cell r="AB10">
            <v>7194</v>
          </cell>
        </row>
        <row r="11">
          <cell r="A11">
            <v>33848</v>
          </cell>
          <cell r="C11">
            <v>25871</v>
          </cell>
          <cell r="D11">
            <v>29596</v>
          </cell>
          <cell r="E11">
            <v>36421</v>
          </cell>
          <cell r="F11">
            <v>27405</v>
          </cell>
          <cell r="G11">
            <v>34915</v>
          </cell>
          <cell r="H11">
            <v>62835</v>
          </cell>
          <cell r="K11">
            <v>33848</v>
          </cell>
          <cell r="L11">
            <v>14835</v>
          </cell>
          <cell r="M11">
            <v>17056</v>
          </cell>
          <cell r="N11">
            <v>20752</v>
          </cell>
          <cell r="O11">
            <v>26042</v>
          </cell>
          <cell r="P11">
            <v>18611</v>
          </cell>
          <cell r="Q11">
            <v>26444</v>
          </cell>
          <cell r="R11">
            <v>54364</v>
          </cell>
          <cell r="U11">
            <v>33848</v>
          </cell>
          <cell r="V11">
            <v>8735</v>
          </cell>
          <cell r="W11">
            <v>8815</v>
          </cell>
          <cell r="X11">
            <v>8844</v>
          </cell>
          <cell r="Y11">
            <v>8769</v>
          </cell>
          <cell r="Z11">
            <v>8794</v>
          </cell>
          <cell r="AA11">
            <v>8471</v>
          </cell>
          <cell r="AB11">
            <v>8471</v>
          </cell>
        </row>
        <row r="12">
          <cell r="A12">
            <v>33878</v>
          </cell>
          <cell r="C12">
            <v>25432</v>
          </cell>
          <cell r="D12">
            <v>27861</v>
          </cell>
          <cell r="E12">
            <v>35019</v>
          </cell>
          <cell r="F12">
            <v>27297</v>
          </cell>
          <cell r="G12">
            <v>33571</v>
          </cell>
          <cell r="H12">
            <v>62616</v>
          </cell>
          <cell r="K12">
            <v>33878</v>
          </cell>
          <cell r="L12">
            <v>14243</v>
          </cell>
          <cell r="M12">
            <v>16290</v>
          </cell>
          <cell r="N12">
            <v>18707</v>
          </cell>
          <cell r="O12">
            <v>25916</v>
          </cell>
          <cell r="P12">
            <v>18171</v>
          </cell>
          <cell r="Q12">
            <v>24804</v>
          </cell>
          <cell r="R12">
            <v>53825</v>
          </cell>
          <cell r="U12">
            <v>33878</v>
          </cell>
          <cell r="V12">
            <v>9078</v>
          </cell>
          <cell r="W12">
            <v>9142</v>
          </cell>
          <cell r="X12">
            <v>9154</v>
          </cell>
          <cell r="Y12">
            <v>9103</v>
          </cell>
          <cell r="Z12">
            <v>9126</v>
          </cell>
          <cell r="AA12">
            <v>8767</v>
          </cell>
          <cell r="AB12">
            <v>8791</v>
          </cell>
        </row>
        <row r="13">
          <cell r="A13">
            <v>33909</v>
          </cell>
          <cell r="C13">
            <v>25173</v>
          </cell>
          <cell r="D13">
            <v>27644</v>
          </cell>
          <cell r="E13">
            <v>34859</v>
          </cell>
          <cell r="F13">
            <v>26300</v>
          </cell>
          <cell r="G13">
            <v>34524</v>
          </cell>
          <cell r="H13">
            <v>63980</v>
          </cell>
          <cell r="K13">
            <v>33909</v>
          </cell>
          <cell r="L13">
            <v>13118</v>
          </cell>
          <cell r="M13">
            <v>15974</v>
          </cell>
          <cell r="N13">
            <v>18428</v>
          </cell>
          <cell r="O13">
            <v>25647</v>
          </cell>
          <cell r="P13">
            <v>17061</v>
          </cell>
          <cell r="Q13">
            <v>25670</v>
          </cell>
          <cell r="R13">
            <v>55145</v>
          </cell>
          <cell r="U13">
            <v>33909</v>
          </cell>
          <cell r="V13">
            <v>9148</v>
          </cell>
          <cell r="W13">
            <v>9199</v>
          </cell>
          <cell r="X13">
            <v>9216</v>
          </cell>
          <cell r="Y13">
            <v>9212</v>
          </cell>
          <cell r="Z13">
            <v>9239</v>
          </cell>
          <cell r="AA13">
            <v>8854</v>
          </cell>
          <cell r="AB13">
            <v>8835</v>
          </cell>
        </row>
        <row r="14">
          <cell r="A14">
            <v>33939</v>
          </cell>
          <cell r="C14">
            <v>26162</v>
          </cell>
          <cell r="D14">
            <v>28063</v>
          </cell>
          <cell r="E14">
            <v>33337</v>
          </cell>
          <cell r="F14">
            <v>24682</v>
          </cell>
          <cell r="G14">
            <v>33853</v>
          </cell>
          <cell r="H14">
            <v>64230</v>
          </cell>
          <cell r="K14">
            <v>33939</v>
          </cell>
          <cell r="L14">
            <v>13381</v>
          </cell>
          <cell r="M14">
            <v>16799</v>
          </cell>
          <cell r="N14">
            <v>18727</v>
          </cell>
          <cell r="O14">
            <v>24321</v>
          </cell>
          <cell r="P14">
            <v>15507</v>
          </cell>
          <cell r="Q14">
            <v>24975</v>
          </cell>
          <cell r="R14">
            <v>55353</v>
          </cell>
          <cell r="U14">
            <v>33939</v>
          </cell>
          <cell r="V14">
            <v>9376</v>
          </cell>
          <cell r="W14">
            <v>9363</v>
          </cell>
          <cell r="X14">
            <v>9336</v>
          </cell>
          <cell r="Y14">
            <v>9016</v>
          </cell>
          <cell r="Z14">
            <v>9175</v>
          </cell>
          <cell r="AA14">
            <v>8878</v>
          </cell>
          <cell r="AB14">
            <v>8877</v>
          </cell>
        </row>
        <row r="15">
          <cell r="A15">
            <v>33970</v>
          </cell>
          <cell r="C15">
            <v>26409</v>
          </cell>
          <cell r="D15">
            <v>27885</v>
          </cell>
          <cell r="E15">
            <v>36968</v>
          </cell>
          <cell r="F15">
            <v>24729</v>
          </cell>
          <cell r="G15">
            <v>33275</v>
          </cell>
          <cell r="H15">
            <v>64821</v>
          </cell>
          <cell r="K15">
            <v>33970</v>
          </cell>
          <cell r="L15">
            <v>12744</v>
          </cell>
          <cell r="M15">
            <v>17167</v>
          </cell>
          <cell r="N15">
            <v>18703</v>
          </cell>
          <cell r="O15">
            <v>27749</v>
          </cell>
          <cell r="P15">
            <v>15682</v>
          </cell>
          <cell r="Q15">
            <v>24540</v>
          </cell>
          <cell r="R15">
            <v>56063</v>
          </cell>
          <cell r="U15">
            <v>33970</v>
          </cell>
          <cell r="V15">
            <v>9207</v>
          </cell>
          <cell r="W15">
            <v>9242</v>
          </cell>
          <cell r="X15">
            <v>9182</v>
          </cell>
          <cell r="Y15">
            <v>9219</v>
          </cell>
          <cell r="Z15">
            <v>9047</v>
          </cell>
          <cell r="AA15">
            <v>8735</v>
          </cell>
          <cell r="AB15">
            <v>8758</v>
          </cell>
        </row>
        <row r="16">
          <cell r="A16">
            <v>34001</v>
          </cell>
          <cell r="C16">
            <v>26664</v>
          </cell>
          <cell r="D16">
            <v>28593</v>
          </cell>
          <cell r="E16">
            <v>38500</v>
          </cell>
          <cell r="F16">
            <v>30130</v>
          </cell>
          <cell r="G16">
            <v>36136</v>
          </cell>
          <cell r="H16">
            <v>69408</v>
          </cell>
          <cell r="K16">
            <v>34001</v>
          </cell>
          <cell r="L16">
            <v>13734</v>
          </cell>
          <cell r="M16">
            <v>16906</v>
          </cell>
          <cell r="N16">
            <v>18765</v>
          </cell>
          <cell r="O16">
            <v>28591</v>
          </cell>
          <cell r="P16">
            <v>20193</v>
          </cell>
          <cell r="Q16">
            <v>26631</v>
          </cell>
          <cell r="R16">
            <v>59875</v>
          </cell>
          <cell r="U16">
            <v>34001</v>
          </cell>
          <cell r="V16">
            <v>9711</v>
          </cell>
          <cell r="W16">
            <v>9758</v>
          </cell>
          <cell r="X16">
            <v>9828</v>
          </cell>
          <cell r="Y16">
            <v>9909</v>
          </cell>
          <cell r="Z16">
            <v>9937</v>
          </cell>
          <cell r="AA16">
            <v>9505</v>
          </cell>
          <cell r="AB16">
            <v>9533</v>
          </cell>
        </row>
        <row r="17">
          <cell r="A17">
            <v>34029</v>
          </cell>
          <cell r="C17">
            <v>28203</v>
          </cell>
          <cell r="D17">
            <v>29783</v>
          </cell>
          <cell r="E17">
            <v>38714</v>
          </cell>
          <cell r="F17">
            <v>29138</v>
          </cell>
          <cell r="G17">
            <v>36756</v>
          </cell>
          <cell r="H17">
            <v>72950</v>
          </cell>
          <cell r="K17">
            <v>34029</v>
          </cell>
          <cell r="L17">
            <v>14893</v>
          </cell>
          <cell r="M17">
            <v>17738</v>
          </cell>
          <cell r="N17">
            <v>19311</v>
          </cell>
          <cell r="O17">
            <v>28290</v>
          </cell>
          <cell r="P17">
            <v>18702</v>
          </cell>
          <cell r="Q17">
            <v>26731</v>
          </cell>
          <cell r="R17">
            <v>62897</v>
          </cell>
          <cell r="U17">
            <v>34029</v>
          </cell>
          <cell r="V17">
            <v>10381</v>
          </cell>
          <cell r="W17">
            <v>10465</v>
          </cell>
          <cell r="X17">
            <v>10472</v>
          </cell>
          <cell r="Y17">
            <v>10424</v>
          </cell>
          <cell r="Z17">
            <v>10436</v>
          </cell>
          <cell r="AA17">
            <v>10025</v>
          </cell>
          <cell r="AB17">
            <v>10053</v>
          </cell>
        </row>
        <row r="18">
          <cell r="A18">
            <v>34060</v>
          </cell>
          <cell r="C18">
            <v>28040</v>
          </cell>
          <cell r="D18">
            <v>30615</v>
          </cell>
          <cell r="E18">
            <v>36433</v>
          </cell>
          <cell r="F18">
            <v>27343</v>
          </cell>
          <cell r="G18">
            <v>35019</v>
          </cell>
          <cell r="H18">
            <v>69794</v>
          </cell>
          <cell r="K18">
            <v>34060</v>
          </cell>
          <cell r="L18">
            <v>13482</v>
          </cell>
          <cell r="M18">
            <v>17082</v>
          </cell>
          <cell r="N18">
            <v>19777</v>
          </cell>
          <cell r="O18">
            <v>25587</v>
          </cell>
          <cell r="P18">
            <v>16478</v>
          </cell>
          <cell r="Q18">
            <v>24626</v>
          </cell>
          <cell r="R18">
            <v>59329</v>
          </cell>
          <cell r="U18">
            <v>34060</v>
          </cell>
          <cell r="V18">
            <v>10933</v>
          </cell>
          <cell r="W18">
            <v>10958</v>
          </cell>
          <cell r="X18">
            <v>10838</v>
          </cell>
          <cell r="Y18">
            <v>10846</v>
          </cell>
          <cell r="Z18">
            <v>10865</v>
          </cell>
          <cell r="AA18">
            <v>10393</v>
          </cell>
          <cell r="AB18">
            <v>10465</v>
          </cell>
        </row>
        <row r="19">
          <cell r="A19">
            <v>34090</v>
          </cell>
          <cell r="C19">
            <v>27973</v>
          </cell>
          <cell r="D19">
            <v>28495</v>
          </cell>
          <cell r="E19">
            <v>37831</v>
          </cell>
          <cell r="F19">
            <v>27977</v>
          </cell>
          <cell r="G19">
            <v>35108</v>
          </cell>
          <cell r="H19">
            <v>70251</v>
          </cell>
          <cell r="K19">
            <v>34090</v>
          </cell>
          <cell r="L19">
            <v>12907</v>
          </cell>
          <cell r="M19">
            <v>16598</v>
          </cell>
          <cell r="N19">
            <v>17102</v>
          </cell>
          <cell r="O19">
            <v>26425</v>
          </cell>
          <cell r="P19">
            <v>16549</v>
          </cell>
          <cell r="Q19">
            <v>24236</v>
          </cell>
          <cell r="R19">
            <v>59351</v>
          </cell>
          <cell r="U19">
            <v>34090</v>
          </cell>
          <cell r="V19">
            <v>11396</v>
          </cell>
          <cell r="W19">
            <v>11375</v>
          </cell>
          <cell r="X19">
            <v>11393</v>
          </cell>
          <cell r="Y19">
            <v>11406</v>
          </cell>
          <cell r="Z19">
            <v>11428</v>
          </cell>
          <cell r="AA19">
            <v>10872</v>
          </cell>
          <cell r="AB19">
            <v>10900</v>
          </cell>
        </row>
        <row r="20">
          <cell r="A20">
            <v>34121</v>
          </cell>
          <cell r="C20">
            <v>27911</v>
          </cell>
          <cell r="D20">
            <v>28537</v>
          </cell>
          <cell r="E20">
            <v>36937</v>
          </cell>
          <cell r="F20">
            <v>27926</v>
          </cell>
          <cell r="G20">
            <v>34964</v>
          </cell>
          <cell r="H20">
            <v>69438</v>
          </cell>
          <cell r="K20">
            <v>34121</v>
          </cell>
          <cell r="L20">
            <v>12369</v>
          </cell>
          <cell r="M20">
            <v>16122</v>
          </cell>
          <cell r="N20">
            <v>16753</v>
          </cell>
          <cell r="O20">
            <v>25312</v>
          </cell>
          <cell r="P20">
            <v>16149</v>
          </cell>
          <cell r="Q20">
            <v>23738</v>
          </cell>
          <cell r="R20">
            <v>58187</v>
          </cell>
          <cell r="U20">
            <v>34121</v>
          </cell>
          <cell r="V20">
            <v>11811</v>
          </cell>
          <cell r="W20">
            <v>11789</v>
          </cell>
          <cell r="X20">
            <v>11784</v>
          </cell>
          <cell r="Y20">
            <v>11625</v>
          </cell>
          <cell r="Z20">
            <v>11777</v>
          </cell>
          <cell r="AA20">
            <v>11226</v>
          </cell>
          <cell r="AB20">
            <v>11251</v>
          </cell>
        </row>
        <row r="21">
          <cell r="A21">
            <v>34151</v>
          </cell>
          <cell r="B21">
            <v>23992</v>
          </cell>
          <cell r="C21">
            <v>27127</v>
          </cell>
          <cell r="D21">
            <v>28449</v>
          </cell>
          <cell r="E21">
            <v>37242</v>
          </cell>
          <cell r="F21">
            <v>27903</v>
          </cell>
          <cell r="G21">
            <v>34104</v>
          </cell>
          <cell r="H21">
            <v>65738</v>
          </cell>
          <cell r="K21">
            <v>34151</v>
          </cell>
          <cell r="L21">
            <v>12039</v>
          </cell>
          <cell r="M21">
            <v>15177</v>
          </cell>
          <cell r="N21">
            <v>16621</v>
          </cell>
          <cell r="O21">
            <v>25374</v>
          </cell>
          <cell r="P21">
            <v>16010</v>
          </cell>
          <cell r="Q21">
            <v>22761</v>
          </cell>
          <cell r="R21">
            <v>54342</v>
          </cell>
          <cell r="U21">
            <v>34151</v>
          </cell>
          <cell r="V21">
            <v>11953</v>
          </cell>
          <cell r="W21">
            <v>11950</v>
          </cell>
          <cell r="X21">
            <v>11828</v>
          </cell>
          <cell r="Y21">
            <v>11868</v>
          </cell>
          <cell r="Z21">
            <v>11893</v>
          </cell>
          <cell r="AA21">
            <v>11343</v>
          </cell>
          <cell r="AB21">
            <v>11396</v>
          </cell>
        </row>
        <row r="22">
          <cell r="A22">
            <v>34182</v>
          </cell>
          <cell r="C22">
            <v>27906</v>
          </cell>
          <cell r="D22">
            <v>28945</v>
          </cell>
          <cell r="E22">
            <v>37800</v>
          </cell>
          <cell r="F22">
            <v>29028</v>
          </cell>
          <cell r="G22">
            <v>35109</v>
          </cell>
          <cell r="H22">
            <v>69729</v>
          </cell>
          <cell r="K22">
            <v>34182</v>
          </cell>
          <cell r="L22">
            <v>12304</v>
          </cell>
          <cell r="M22">
            <v>15179</v>
          </cell>
          <cell r="N22">
            <v>16249</v>
          </cell>
          <cell r="O22">
            <v>25128</v>
          </cell>
          <cell r="P22">
            <v>16300</v>
          </cell>
          <cell r="Q22">
            <v>23001</v>
          </cell>
          <cell r="R22">
            <v>57761</v>
          </cell>
          <cell r="U22">
            <v>34182</v>
          </cell>
          <cell r="V22">
            <v>12700</v>
          </cell>
          <cell r="W22">
            <v>12727</v>
          </cell>
          <cell r="X22">
            <v>12696</v>
          </cell>
          <cell r="Y22">
            <v>12672</v>
          </cell>
          <cell r="Z22">
            <v>12728</v>
          </cell>
          <cell r="AA22">
            <v>12108</v>
          </cell>
          <cell r="AB22">
            <v>11968</v>
          </cell>
        </row>
        <row r="23">
          <cell r="A23">
            <v>34213</v>
          </cell>
          <cell r="C23">
            <v>27433</v>
          </cell>
          <cell r="D23">
            <v>28040</v>
          </cell>
          <cell r="E23">
            <v>36506</v>
          </cell>
          <cell r="F23">
            <v>28289</v>
          </cell>
          <cell r="G23">
            <v>33990</v>
          </cell>
          <cell r="H23">
            <v>68166</v>
          </cell>
          <cell r="K23">
            <v>34213</v>
          </cell>
          <cell r="L23">
            <v>12156</v>
          </cell>
          <cell r="M23">
            <v>14545</v>
          </cell>
          <cell r="N23">
            <v>15014</v>
          </cell>
          <cell r="O23">
            <v>23457</v>
          </cell>
          <cell r="P23">
            <v>15267</v>
          </cell>
          <cell r="Q23">
            <v>21614</v>
          </cell>
          <cell r="R23">
            <v>55761</v>
          </cell>
          <cell r="U23">
            <v>34213</v>
          </cell>
          <cell r="V23">
            <v>13061</v>
          </cell>
          <cell r="W23">
            <v>12888</v>
          </cell>
          <cell r="X23">
            <v>13026</v>
          </cell>
          <cell r="Y23">
            <v>13049</v>
          </cell>
          <cell r="Z23">
            <v>13022</v>
          </cell>
          <cell r="AA23">
            <v>12376</v>
          </cell>
          <cell r="AB23">
            <v>12405</v>
          </cell>
        </row>
        <row r="24">
          <cell r="A24">
            <v>34243</v>
          </cell>
          <cell r="C24">
            <v>28286</v>
          </cell>
          <cell r="D24">
            <v>28810</v>
          </cell>
          <cell r="E24">
            <v>38259</v>
          </cell>
          <cell r="F24">
            <v>28528</v>
          </cell>
          <cell r="G24">
            <v>35096</v>
          </cell>
          <cell r="H24">
            <v>68980</v>
          </cell>
          <cell r="K24">
            <v>34243</v>
          </cell>
          <cell r="L24">
            <v>10805</v>
          </cell>
          <cell r="M24">
            <v>13886</v>
          </cell>
          <cell r="N24">
            <v>14257</v>
          </cell>
          <cell r="O24">
            <v>23692</v>
          </cell>
          <cell r="P24">
            <v>13996</v>
          </cell>
          <cell r="Q24">
            <v>21614</v>
          </cell>
          <cell r="R24">
            <v>55335</v>
          </cell>
          <cell r="U24">
            <v>34243</v>
          </cell>
          <cell r="V24">
            <v>14593</v>
          </cell>
          <cell r="W24">
            <v>14400</v>
          </cell>
          <cell r="X24">
            <v>14553</v>
          </cell>
          <cell r="Y24">
            <v>14567</v>
          </cell>
          <cell r="Z24">
            <v>14532</v>
          </cell>
          <cell r="AA24">
            <v>13482</v>
          </cell>
          <cell r="AB24">
            <v>13645</v>
          </cell>
        </row>
        <row r="25">
          <cell r="A25">
            <v>34274</v>
          </cell>
          <cell r="C25">
            <v>29498</v>
          </cell>
          <cell r="D25">
            <v>30061</v>
          </cell>
          <cell r="E25">
            <v>40225</v>
          </cell>
          <cell r="F25">
            <v>29694</v>
          </cell>
          <cell r="G25">
            <v>36985</v>
          </cell>
          <cell r="H25">
            <v>72409</v>
          </cell>
          <cell r="K25">
            <v>34274</v>
          </cell>
          <cell r="L25">
            <v>13073</v>
          </cell>
          <cell r="M25">
            <v>14622</v>
          </cell>
          <cell r="N25">
            <v>15126</v>
          </cell>
          <cell r="O25">
            <v>25223</v>
          </cell>
          <cell r="P25">
            <v>14673</v>
          </cell>
          <cell r="Q25">
            <v>23122</v>
          </cell>
          <cell r="R25">
            <v>58422</v>
          </cell>
          <cell r="U25">
            <v>34274</v>
          </cell>
          <cell r="V25">
            <v>14900</v>
          </cell>
          <cell r="W25">
            <v>14876</v>
          </cell>
          <cell r="X25">
            <v>14935</v>
          </cell>
          <cell r="Y25">
            <v>15002</v>
          </cell>
          <cell r="Z25">
            <v>15021</v>
          </cell>
          <cell r="AA25">
            <v>13863</v>
          </cell>
          <cell r="AB25">
            <v>13987</v>
          </cell>
        </row>
        <row r="26">
          <cell r="A26">
            <v>34304</v>
          </cell>
          <cell r="C26">
            <v>29941</v>
          </cell>
          <cell r="D26">
            <v>31447</v>
          </cell>
          <cell r="E26">
            <v>39212</v>
          </cell>
          <cell r="F26">
            <v>29360</v>
          </cell>
          <cell r="G26">
            <v>33567</v>
          </cell>
          <cell r="H26">
            <v>68056</v>
          </cell>
          <cell r="K26">
            <v>34304</v>
          </cell>
          <cell r="L26">
            <v>11227</v>
          </cell>
          <cell r="M26">
            <v>14734</v>
          </cell>
          <cell r="N26">
            <v>16244</v>
          </cell>
          <cell r="O26">
            <v>24024</v>
          </cell>
          <cell r="P26">
            <v>14335</v>
          </cell>
          <cell r="Q26">
            <v>19449</v>
          </cell>
          <cell r="R26">
            <v>53889</v>
          </cell>
          <cell r="U26">
            <v>34304</v>
          </cell>
          <cell r="V26">
            <v>15401</v>
          </cell>
          <cell r="W26">
            <v>15207</v>
          </cell>
          <cell r="X26">
            <v>15203</v>
          </cell>
          <cell r="Y26">
            <v>15188</v>
          </cell>
          <cell r="Z26">
            <v>15025</v>
          </cell>
          <cell r="AA26">
            <v>14118</v>
          </cell>
          <cell r="AB26">
            <v>14167</v>
          </cell>
        </row>
        <row r="27">
          <cell r="A27">
            <v>34335</v>
          </cell>
          <cell r="C27">
            <v>29191</v>
          </cell>
          <cell r="D27">
            <v>30978</v>
          </cell>
          <cell r="E27">
            <v>40209</v>
          </cell>
          <cell r="F27">
            <v>29524</v>
          </cell>
          <cell r="G27">
            <v>33247</v>
          </cell>
          <cell r="H27">
            <v>67117</v>
          </cell>
          <cell r="K27">
            <v>34335</v>
          </cell>
          <cell r="L27">
            <v>11022</v>
          </cell>
          <cell r="M27">
            <v>14126</v>
          </cell>
          <cell r="N27">
            <v>15909</v>
          </cell>
          <cell r="O27">
            <v>25133</v>
          </cell>
          <cell r="P27">
            <v>14399</v>
          </cell>
          <cell r="Q27">
            <v>19237</v>
          </cell>
          <cell r="R27">
            <v>53016</v>
          </cell>
          <cell r="U27">
            <v>34335</v>
          </cell>
          <cell r="V27">
            <v>15277</v>
          </cell>
          <cell r="W27">
            <v>15065</v>
          </cell>
          <cell r="X27">
            <v>15069</v>
          </cell>
          <cell r="Y27">
            <v>15076</v>
          </cell>
          <cell r="Z27">
            <v>15125</v>
          </cell>
          <cell r="AA27">
            <v>14010</v>
          </cell>
          <cell r="AB27">
            <v>14101</v>
          </cell>
        </row>
        <row r="28">
          <cell r="A28">
            <v>34366</v>
          </cell>
          <cell r="C28">
            <v>30334</v>
          </cell>
          <cell r="D28">
            <v>32073</v>
          </cell>
          <cell r="E28">
            <v>43605</v>
          </cell>
          <cell r="F28">
            <v>31521</v>
          </cell>
          <cell r="G28">
            <v>38120</v>
          </cell>
          <cell r="H28">
            <v>74729</v>
          </cell>
          <cell r="K28">
            <v>34366</v>
          </cell>
          <cell r="L28">
            <v>11910</v>
          </cell>
          <cell r="M28">
            <v>14673</v>
          </cell>
          <cell r="N28">
            <v>16245</v>
          </cell>
          <cell r="O28">
            <v>27667</v>
          </cell>
          <cell r="P28">
            <v>15539</v>
          </cell>
          <cell r="Q28">
            <v>23254</v>
          </cell>
          <cell r="R28">
            <v>59819</v>
          </cell>
          <cell r="U28">
            <v>34366</v>
          </cell>
          <cell r="V28">
            <v>15940</v>
          </cell>
          <cell r="W28">
            <v>15661</v>
          </cell>
          <cell r="X28">
            <v>15828</v>
          </cell>
          <cell r="Y28">
            <v>15938</v>
          </cell>
          <cell r="Z28">
            <v>15982</v>
          </cell>
          <cell r="AA28">
            <v>14866</v>
          </cell>
          <cell r="AB28">
            <v>14910</v>
          </cell>
        </row>
        <row r="29">
          <cell r="A29">
            <v>34394</v>
          </cell>
          <cell r="C29">
            <v>35030</v>
          </cell>
          <cell r="D29">
            <v>34487</v>
          </cell>
          <cell r="E29">
            <v>45100</v>
          </cell>
          <cell r="F29">
            <v>33854</v>
          </cell>
          <cell r="G29">
            <v>40799</v>
          </cell>
          <cell r="H29">
            <v>82607</v>
          </cell>
          <cell r="K29">
            <v>34394</v>
          </cell>
          <cell r="L29">
            <v>12282</v>
          </cell>
          <cell r="M29">
            <v>18356</v>
          </cell>
          <cell r="N29">
            <v>17752</v>
          </cell>
          <cell r="O29">
            <v>28451</v>
          </cell>
          <cell r="P29">
            <v>17110</v>
          </cell>
          <cell r="Q29">
            <v>25129</v>
          </cell>
          <cell r="R29">
            <v>66892</v>
          </cell>
          <cell r="U29">
            <v>34394</v>
          </cell>
          <cell r="V29">
            <v>17444</v>
          </cell>
          <cell r="W29">
            <v>16674</v>
          </cell>
          <cell r="X29">
            <v>16735</v>
          </cell>
          <cell r="Y29">
            <v>16649</v>
          </cell>
          <cell r="Z29">
            <v>16744</v>
          </cell>
          <cell r="AA29">
            <v>15670</v>
          </cell>
          <cell r="AB29">
            <v>15715</v>
          </cell>
        </row>
        <row r="30">
          <cell r="A30">
            <v>34425</v>
          </cell>
          <cell r="C30">
            <v>32156</v>
          </cell>
          <cell r="D30">
            <v>33641</v>
          </cell>
          <cell r="E30">
            <v>43573</v>
          </cell>
          <cell r="F30">
            <v>31996</v>
          </cell>
          <cell r="G30">
            <v>38834</v>
          </cell>
          <cell r="H30">
            <v>78533</v>
          </cell>
          <cell r="K30">
            <v>34425</v>
          </cell>
          <cell r="L30">
            <v>11317</v>
          </cell>
          <cell r="M30">
            <v>15035</v>
          </cell>
          <cell r="N30">
            <v>16453</v>
          </cell>
          <cell r="O30">
            <v>26694</v>
          </cell>
          <cell r="P30">
            <v>14992</v>
          </cell>
          <cell r="Q30">
            <v>22679</v>
          </cell>
          <cell r="R30">
            <v>62452</v>
          </cell>
          <cell r="U30">
            <v>34425</v>
          </cell>
          <cell r="V30">
            <v>17328</v>
          </cell>
          <cell r="W30">
            <v>17121</v>
          </cell>
          <cell r="X30">
            <v>17188</v>
          </cell>
          <cell r="Y30">
            <v>16879</v>
          </cell>
          <cell r="Z30">
            <v>17004</v>
          </cell>
          <cell r="AA30">
            <v>16155</v>
          </cell>
          <cell r="AB30">
            <v>16081</v>
          </cell>
        </row>
        <row r="31">
          <cell r="A31">
            <v>34455</v>
          </cell>
        </row>
        <row r="32">
          <cell r="A32">
            <v>34486</v>
          </cell>
        </row>
        <row r="33">
          <cell r="A33">
            <v>34516</v>
          </cell>
        </row>
        <row r="34">
          <cell r="A34">
            <v>34547</v>
          </cell>
        </row>
        <row r="35">
          <cell r="A35">
            <v>34578</v>
          </cell>
        </row>
        <row r="36">
          <cell r="A36">
            <v>34608</v>
          </cell>
        </row>
        <row r="37">
          <cell r="A37">
            <v>34639</v>
          </cell>
        </row>
        <row r="38">
          <cell r="A38">
            <v>34669</v>
          </cell>
        </row>
        <row r="39">
          <cell r="A39">
            <v>34700</v>
          </cell>
        </row>
        <row r="40">
          <cell r="A40">
            <v>34731</v>
          </cell>
        </row>
        <row r="41">
          <cell r="A41">
            <v>34759</v>
          </cell>
        </row>
        <row r="42">
          <cell r="A42">
            <v>34790</v>
          </cell>
        </row>
        <row r="43">
          <cell r="A43">
            <v>34820</v>
          </cell>
        </row>
        <row r="44">
          <cell r="A44">
            <v>34851</v>
          </cell>
        </row>
        <row r="45">
          <cell r="A45">
            <v>34881</v>
          </cell>
        </row>
        <row r="46">
          <cell r="A46">
            <v>34912</v>
          </cell>
        </row>
        <row r="47">
          <cell r="A47">
            <v>34943</v>
          </cell>
          <cell r="B47">
            <v>42542</v>
          </cell>
        </row>
        <row r="48">
          <cell r="A48">
            <v>34973</v>
          </cell>
        </row>
        <row r="49">
          <cell r="A49">
            <v>35004</v>
          </cell>
        </row>
        <row r="50">
          <cell r="A50">
            <v>35034</v>
          </cell>
        </row>
        <row r="51">
          <cell r="A51">
            <v>35065</v>
          </cell>
        </row>
        <row r="52">
          <cell r="A52">
            <v>35096</v>
          </cell>
        </row>
        <row r="53">
          <cell r="A53">
            <v>35125</v>
          </cell>
          <cell r="B53">
            <v>48472</v>
          </cell>
        </row>
        <row r="54">
          <cell r="A54">
            <v>35156</v>
          </cell>
        </row>
        <row r="55">
          <cell r="A55">
            <v>35186</v>
          </cell>
        </row>
        <row r="56">
          <cell r="A56">
            <v>35217</v>
          </cell>
        </row>
        <row r="57">
          <cell r="A57">
            <v>35247</v>
          </cell>
        </row>
        <row r="58">
          <cell r="A58">
            <v>35278</v>
          </cell>
        </row>
        <row r="59">
          <cell r="A59">
            <v>35309</v>
          </cell>
          <cell r="B59">
            <v>47252</v>
          </cell>
        </row>
        <row r="60">
          <cell r="A60">
            <v>35339</v>
          </cell>
        </row>
        <row r="61">
          <cell r="A61">
            <v>35370</v>
          </cell>
        </row>
        <row r="62">
          <cell r="A62">
            <v>35400</v>
          </cell>
        </row>
        <row r="63">
          <cell r="A63">
            <v>35431</v>
          </cell>
        </row>
        <row r="64">
          <cell r="A64">
            <v>35462</v>
          </cell>
        </row>
        <row r="65">
          <cell r="A65">
            <v>35490</v>
          </cell>
          <cell r="B65">
            <v>51357</v>
          </cell>
        </row>
        <row r="66">
          <cell r="A66">
            <v>35521</v>
          </cell>
        </row>
        <row r="67">
          <cell r="A67">
            <v>35551</v>
          </cell>
        </row>
        <row r="68">
          <cell r="A68">
            <v>35582</v>
          </cell>
        </row>
        <row r="69">
          <cell r="A69">
            <v>35612</v>
          </cell>
        </row>
        <row r="70">
          <cell r="A70">
            <v>35643</v>
          </cell>
        </row>
        <row r="71">
          <cell r="A71">
            <v>35674</v>
          </cell>
        </row>
        <row r="72">
          <cell r="A72">
            <v>35704</v>
          </cell>
        </row>
        <row r="73">
          <cell r="A73">
            <v>35735</v>
          </cell>
        </row>
        <row r="74">
          <cell r="A74">
            <v>35765</v>
          </cell>
        </row>
        <row r="75">
          <cell r="A75">
            <v>35796</v>
          </cell>
        </row>
        <row r="76">
          <cell r="A76">
            <v>35827</v>
          </cell>
        </row>
        <row r="77">
          <cell r="A77">
            <v>35855</v>
          </cell>
        </row>
        <row r="78">
          <cell r="A78">
            <v>35886</v>
          </cell>
        </row>
        <row r="79">
          <cell r="A79">
            <v>35916</v>
          </cell>
        </row>
        <row r="80">
          <cell r="A80">
            <v>35947</v>
          </cell>
        </row>
        <row r="81">
          <cell r="A81">
            <v>35977</v>
          </cell>
        </row>
        <row r="82">
          <cell r="A82">
            <v>36008</v>
          </cell>
        </row>
        <row r="83">
          <cell r="A83">
            <v>36039</v>
          </cell>
        </row>
        <row r="84">
          <cell r="A84">
            <v>36069</v>
          </cell>
        </row>
        <row r="85">
          <cell r="A85">
            <v>36100</v>
          </cell>
        </row>
        <row r="86">
          <cell r="A86">
            <v>36130</v>
          </cell>
        </row>
        <row r="87">
          <cell r="A87">
            <v>36161</v>
          </cell>
        </row>
        <row r="88">
          <cell r="A88">
            <v>36192</v>
          </cell>
        </row>
        <row r="89">
          <cell r="A89">
            <v>36220</v>
          </cell>
        </row>
        <row r="90">
          <cell r="A90">
            <v>36251</v>
          </cell>
        </row>
        <row r="91">
          <cell r="A91">
            <v>36281</v>
          </cell>
        </row>
        <row r="92">
          <cell r="A92">
            <v>36312</v>
          </cell>
        </row>
        <row r="93">
          <cell r="A93">
            <v>36342</v>
          </cell>
        </row>
        <row r="94">
          <cell r="A94">
            <v>36373</v>
          </cell>
        </row>
        <row r="95">
          <cell r="A95">
            <v>36404</v>
          </cell>
        </row>
        <row r="96">
          <cell r="A96">
            <v>36434</v>
          </cell>
        </row>
        <row r="97">
          <cell r="A97">
            <v>36465</v>
          </cell>
        </row>
        <row r="98">
          <cell r="A98">
            <v>36495</v>
          </cell>
        </row>
        <row r="99">
          <cell r="A99">
            <v>36526</v>
          </cell>
        </row>
        <row r="100">
          <cell r="A100">
            <v>36557</v>
          </cell>
        </row>
        <row r="101">
          <cell r="A101">
            <v>36586</v>
          </cell>
        </row>
        <row r="102">
          <cell r="A102">
            <v>36617</v>
          </cell>
        </row>
        <row r="103">
          <cell r="A103">
            <v>36647</v>
          </cell>
        </row>
        <row r="104">
          <cell r="A104">
            <v>36678</v>
          </cell>
        </row>
        <row r="105">
          <cell r="A105">
            <v>36708</v>
          </cell>
        </row>
        <row r="106">
          <cell r="A106">
            <v>36739</v>
          </cell>
        </row>
        <row r="107">
          <cell r="A107">
            <v>36770</v>
          </cell>
        </row>
        <row r="108">
          <cell r="A108">
            <v>36800</v>
          </cell>
        </row>
        <row r="109">
          <cell r="A109">
            <v>36831</v>
          </cell>
        </row>
        <row r="110">
          <cell r="A110">
            <v>36861</v>
          </cell>
        </row>
        <row r="111">
          <cell r="A111">
            <v>36892</v>
          </cell>
        </row>
        <row r="112">
          <cell r="A112">
            <v>36923</v>
          </cell>
        </row>
        <row r="113">
          <cell r="A113">
            <v>36951</v>
          </cell>
        </row>
        <row r="114">
          <cell r="A114">
            <v>36982</v>
          </cell>
        </row>
        <row r="115">
          <cell r="A115">
            <v>37012</v>
          </cell>
        </row>
        <row r="116">
          <cell r="A116">
            <v>37043</v>
          </cell>
        </row>
        <row r="117">
          <cell r="A117">
            <v>37073</v>
          </cell>
        </row>
        <row r="118">
          <cell r="A118">
            <v>37104</v>
          </cell>
        </row>
        <row r="119">
          <cell r="A119">
            <v>37135</v>
          </cell>
        </row>
        <row r="120">
          <cell r="A120">
            <v>37165</v>
          </cell>
        </row>
        <row r="121">
          <cell r="A121">
            <v>37196</v>
          </cell>
        </row>
        <row r="122">
          <cell r="A122">
            <v>37226</v>
          </cell>
        </row>
        <row r="123">
          <cell r="A123">
            <v>37257</v>
          </cell>
        </row>
        <row r="124">
          <cell r="A124">
            <v>37288</v>
          </cell>
        </row>
        <row r="125">
          <cell r="A125">
            <v>37316</v>
          </cell>
          <cell r="B125">
            <v>53116</v>
          </cell>
          <cell r="C125">
            <v>54788.166666666664</v>
          </cell>
          <cell r="D125">
            <v>55379.416666666664</v>
          </cell>
          <cell r="E125">
            <v>66073.41666666667</v>
          </cell>
          <cell r="F125">
            <v>54974.75</v>
          </cell>
          <cell r="G125">
            <v>66513.41666666667</v>
          </cell>
          <cell r="H125">
            <v>93566.66666666667</v>
          </cell>
          <cell r="K125" t="str">
            <v>2000</v>
          </cell>
          <cell r="L125">
            <v>10318.333333333334</v>
          </cell>
          <cell r="M125">
            <v>12115.333333333334</v>
          </cell>
          <cell r="N125">
            <v>12734.25</v>
          </cell>
          <cell r="O125">
            <v>22425.75</v>
          </cell>
        </row>
        <row r="126">
          <cell r="A126">
            <v>37347</v>
          </cell>
          <cell r="B126">
            <v>50557</v>
          </cell>
          <cell r="C126">
            <v>48955</v>
          </cell>
          <cell r="D126">
            <v>50113</v>
          </cell>
          <cell r="E126">
            <v>60168</v>
          </cell>
          <cell r="F126">
            <v>49961</v>
          </cell>
          <cell r="G126">
            <v>64410</v>
          </cell>
          <cell r="H126">
            <v>95893</v>
          </cell>
          <cell r="K126">
            <v>37347</v>
          </cell>
          <cell r="L126">
            <v>9290</v>
          </cell>
          <cell r="M126">
            <v>7624</v>
          </cell>
          <cell r="N126">
            <v>8792</v>
          </cell>
          <cell r="O126">
            <v>18785</v>
          </cell>
        </row>
        <row r="127">
          <cell r="A127">
            <v>37377</v>
          </cell>
          <cell r="B127">
            <v>49399</v>
          </cell>
          <cell r="C127">
            <v>48465</v>
          </cell>
          <cell r="D127">
            <v>52127</v>
          </cell>
          <cell r="E127">
            <v>60332</v>
          </cell>
          <cell r="F127">
            <v>49234</v>
          </cell>
          <cell r="G127">
            <v>63576</v>
          </cell>
          <cell r="H127">
            <v>92293</v>
          </cell>
          <cell r="K127">
            <v>37377</v>
          </cell>
          <cell r="L127">
            <v>8038</v>
          </cell>
          <cell r="M127">
            <v>7081</v>
          </cell>
          <cell r="N127">
            <v>8249</v>
          </cell>
          <cell r="O127">
            <v>16438</v>
          </cell>
        </row>
        <row r="128">
          <cell r="A128">
            <v>37408</v>
          </cell>
          <cell r="B128">
            <v>47576</v>
          </cell>
          <cell r="C128">
            <v>47437</v>
          </cell>
          <cell r="D128">
            <v>47661</v>
          </cell>
          <cell r="E128">
            <v>56046</v>
          </cell>
          <cell r="F128">
            <v>48086</v>
          </cell>
          <cell r="G128">
            <v>61787</v>
          </cell>
          <cell r="H128">
            <v>85455</v>
          </cell>
          <cell r="K128">
            <v>37408</v>
          </cell>
          <cell r="L128">
            <v>6713</v>
          </cell>
          <cell r="M128">
            <v>6568</v>
          </cell>
          <cell r="N128">
            <v>6762</v>
          </cell>
          <cell r="O128">
            <v>15158</v>
          </cell>
        </row>
        <row r="129">
          <cell r="A129">
            <v>37438</v>
          </cell>
          <cell r="B129">
            <v>48130</v>
          </cell>
          <cell r="C129">
            <v>46611</v>
          </cell>
          <cell r="D129">
            <v>47756</v>
          </cell>
          <cell r="E129">
            <v>56398</v>
          </cell>
          <cell r="F129">
            <v>47549</v>
          </cell>
          <cell r="G129">
            <v>61637</v>
          </cell>
          <cell r="H129">
            <v>87635</v>
          </cell>
          <cell r="K129">
            <v>37438</v>
          </cell>
          <cell r="L129">
            <v>7986</v>
          </cell>
          <cell r="M129">
            <v>6604</v>
          </cell>
          <cell r="N129">
            <v>7696</v>
          </cell>
          <cell r="O129">
            <v>16312</v>
          </cell>
        </row>
        <row r="130">
          <cell r="A130">
            <v>37469</v>
          </cell>
          <cell r="B130">
            <v>46813</v>
          </cell>
          <cell r="C130">
            <v>46956</v>
          </cell>
          <cell r="D130">
            <v>47502</v>
          </cell>
          <cell r="E130">
            <v>57172</v>
          </cell>
          <cell r="F130">
            <v>48075</v>
          </cell>
          <cell r="G130">
            <v>62760</v>
          </cell>
          <cell r="H130">
            <v>89415</v>
          </cell>
          <cell r="K130">
            <v>37469</v>
          </cell>
          <cell r="L130">
            <v>6478</v>
          </cell>
          <cell r="M130">
            <v>6573</v>
          </cell>
          <cell r="N130">
            <v>7098</v>
          </cell>
          <cell r="O130">
            <v>16773</v>
          </cell>
        </row>
        <row r="131">
          <cell r="A131">
            <v>37500</v>
          </cell>
          <cell r="B131">
            <v>46915</v>
          </cell>
          <cell r="C131">
            <v>47048</v>
          </cell>
          <cell r="D131">
            <v>47545</v>
          </cell>
          <cell r="E131">
            <v>57073</v>
          </cell>
          <cell r="F131">
            <v>48167</v>
          </cell>
          <cell r="G131">
            <v>63542</v>
          </cell>
          <cell r="H131">
            <v>90445</v>
          </cell>
          <cell r="K131">
            <v>37500</v>
          </cell>
          <cell r="L131">
            <v>7130</v>
          </cell>
          <cell r="M131">
            <v>7304</v>
          </cell>
          <cell r="N131">
            <v>7780</v>
          </cell>
          <cell r="O131">
            <v>17282</v>
          </cell>
        </row>
        <row r="132">
          <cell r="A132">
            <v>37530</v>
          </cell>
          <cell r="B132">
            <v>53228</v>
          </cell>
          <cell r="C132">
            <v>50420</v>
          </cell>
          <cell r="D132">
            <v>49845</v>
          </cell>
          <cell r="E132">
            <v>59585</v>
          </cell>
          <cell r="F132">
            <v>51364</v>
          </cell>
          <cell r="G132">
            <v>67199</v>
          </cell>
          <cell r="H132">
            <v>88753</v>
          </cell>
          <cell r="K132">
            <v>37530</v>
          </cell>
          <cell r="L132">
            <v>13330</v>
          </cell>
          <cell r="M132">
            <v>10528</v>
          </cell>
          <cell r="N132">
            <v>9922</v>
          </cell>
          <cell r="O132">
            <v>19625</v>
          </cell>
        </row>
        <row r="133">
          <cell r="A133">
            <v>37561</v>
          </cell>
          <cell r="B133">
            <v>45855</v>
          </cell>
          <cell r="C133">
            <v>46054</v>
          </cell>
          <cell r="D133">
            <v>46775</v>
          </cell>
          <cell r="E133">
            <v>55753</v>
          </cell>
          <cell r="F133">
            <v>49691</v>
          </cell>
          <cell r="G133">
            <v>61975</v>
          </cell>
          <cell r="H133">
            <v>87070</v>
          </cell>
          <cell r="K133">
            <v>37561</v>
          </cell>
          <cell r="L133">
            <v>6960</v>
          </cell>
          <cell r="M133">
            <v>7203</v>
          </cell>
          <cell r="N133">
            <v>8022</v>
          </cell>
          <cell r="O133">
            <v>17048</v>
          </cell>
        </row>
        <row r="134">
          <cell r="A134">
            <v>37591</v>
          </cell>
          <cell r="B134">
            <v>43040</v>
          </cell>
          <cell r="C134">
            <v>43492</v>
          </cell>
          <cell r="D134">
            <v>46511</v>
          </cell>
          <cell r="E134">
            <v>52587</v>
          </cell>
          <cell r="F134">
            <v>44579</v>
          </cell>
          <cell r="G134">
            <v>59384</v>
          </cell>
          <cell r="H134">
            <v>82855</v>
          </cell>
          <cell r="K134">
            <v>37591</v>
          </cell>
          <cell r="L134">
            <v>6092</v>
          </cell>
          <cell r="M134">
            <v>6676</v>
          </cell>
          <cell r="N134">
            <v>6326</v>
          </cell>
          <cell r="O134">
            <v>15549</v>
          </cell>
        </row>
        <row r="135">
          <cell r="A135">
            <v>37622</v>
          </cell>
          <cell r="B135">
            <v>41378</v>
          </cell>
          <cell r="C135">
            <v>42690</v>
          </cell>
          <cell r="D135">
            <v>45006</v>
          </cell>
          <cell r="E135">
            <v>54193</v>
          </cell>
          <cell r="F135">
            <v>43661</v>
          </cell>
          <cell r="G135">
            <v>58530</v>
          </cell>
          <cell r="H135">
            <v>85970</v>
          </cell>
          <cell r="K135">
            <v>37622</v>
          </cell>
          <cell r="L135">
            <v>5874</v>
          </cell>
          <cell r="M135">
            <v>7154</v>
          </cell>
          <cell r="N135">
            <v>7044</v>
          </cell>
          <cell r="O135">
            <v>18655</v>
          </cell>
        </row>
        <row r="136">
          <cell r="A136">
            <v>37653</v>
          </cell>
          <cell r="B136">
            <v>42887</v>
          </cell>
          <cell r="C136">
            <v>43797</v>
          </cell>
          <cell r="D136">
            <v>44348</v>
          </cell>
          <cell r="E136">
            <v>55596</v>
          </cell>
          <cell r="F136">
            <v>44969</v>
          </cell>
          <cell r="G136">
            <v>60415</v>
          </cell>
          <cell r="H136">
            <v>91027</v>
          </cell>
          <cell r="K136">
            <v>37653</v>
          </cell>
          <cell r="L136">
            <v>6243</v>
          </cell>
          <cell r="M136">
            <v>7118</v>
          </cell>
          <cell r="N136">
            <v>7587</v>
          </cell>
          <cell r="O136">
            <v>18930</v>
          </cell>
        </row>
        <row r="137">
          <cell r="A137">
            <v>37681</v>
          </cell>
          <cell r="B137">
            <v>41951</v>
          </cell>
          <cell r="C137">
            <v>45397</v>
          </cell>
          <cell r="D137">
            <v>42726</v>
          </cell>
          <cell r="E137">
            <v>53465</v>
          </cell>
          <cell r="F137">
            <v>44316</v>
          </cell>
          <cell r="G137">
            <v>59505</v>
          </cell>
          <cell r="H137">
            <v>87553</v>
          </cell>
          <cell r="K137">
            <v>37681</v>
          </cell>
          <cell r="L137">
            <v>6219</v>
          </cell>
          <cell r="M137">
            <v>6496</v>
          </cell>
          <cell r="N137">
            <v>6949</v>
          </cell>
          <cell r="O137">
            <v>17794</v>
          </cell>
        </row>
        <row r="138">
          <cell r="A138">
            <v>37712</v>
          </cell>
          <cell r="B138">
            <v>44518</v>
          </cell>
          <cell r="C138">
            <v>42327</v>
          </cell>
          <cell r="D138">
            <v>42902</v>
          </cell>
          <cell r="E138">
            <v>52890</v>
          </cell>
          <cell r="F138">
            <v>46210</v>
          </cell>
          <cell r="G138">
            <v>59052</v>
          </cell>
          <cell r="H138">
            <v>85991</v>
          </cell>
          <cell r="K138">
            <v>37712</v>
          </cell>
          <cell r="L138">
            <v>5413</v>
          </cell>
          <cell r="M138">
            <v>6460</v>
          </cell>
          <cell r="N138">
            <v>7010</v>
          </cell>
          <cell r="O138">
            <v>16958</v>
          </cell>
        </row>
        <row r="139">
          <cell r="A139">
            <v>37742</v>
          </cell>
          <cell r="B139">
            <v>40595</v>
          </cell>
          <cell r="C139">
            <v>41813</v>
          </cell>
          <cell r="D139">
            <v>42299</v>
          </cell>
          <cell r="E139">
            <v>54757</v>
          </cell>
          <cell r="F139">
            <v>43329</v>
          </cell>
          <cell r="G139">
            <v>58417</v>
          </cell>
          <cell r="H139">
            <v>85894</v>
          </cell>
          <cell r="K139">
            <v>37742</v>
          </cell>
          <cell r="L139">
            <v>5048</v>
          </cell>
          <cell r="M139">
            <v>6287</v>
          </cell>
          <cell r="N139">
            <v>6750</v>
          </cell>
          <cell r="O139">
            <v>16612</v>
          </cell>
        </row>
        <row r="140">
          <cell r="A140">
            <v>37773</v>
          </cell>
          <cell r="B140">
            <v>39991</v>
          </cell>
          <cell r="C140">
            <v>41411</v>
          </cell>
          <cell r="D140">
            <v>41918</v>
          </cell>
          <cell r="E140">
            <v>54909</v>
          </cell>
          <cell r="F140">
            <v>43196</v>
          </cell>
          <cell r="G140">
            <v>57525</v>
          </cell>
          <cell r="H140">
            <v>84897</v>
          </cell>
          <cell r="K140">
            <v>37773</v>
          </cell>
          <cell r="L140">
            <v>4939</v>
          </cell>
          <cell r="M140">
            <v>6337</v>
          </cell>
          <cell r="N140">
            <v>6682</v>
          </cell>
          <cell r="O140">
            <v>16481</v>
          </cell>
        </row>
        <row r="141">
          <cell r="A141">
            <v>37803</v>
          </cell>
          <cell r="B141">
            <v>40179</v>
          </cell>
          <cell r="C141">
            <v>41669</v>
          </cell>
          <cell r="D141">
            <v>42089</v>
          </cell>
          <cell r="E141">
            <v>51832</v>
          </cell>
          <cell r="F141">
            <v>43657</v>
          </cell>
          <cell r="G141">
            <v>58294</v>
          </cell>
          <cell r="H141">
            <v>84281</v>
          </cell>
          <cell r="K141">
            <v>37803</v>
          </cell>
          <cell r="L141">
            <v>5043</v>
          </cell>
          <cell r="M141">
            <v>6494</v>
          </cell>
          <cell r="N141">
            <v>6827</v>
          </cell>
          <cell r="O141">
            <v>16572</v>
          </cell>
        </row>
        <row r="142">
          <cell r="A142">
            <v>37834</v>
          </cell>
          <cell r="B142">
            <v>40039</v>
          </cell>
          <cell r="C142">
            <v>41527</v>
          </cell>
          <cell r="D142">
            <v>42302</v>
          </cell>
          <cell r="E142">
            <v>52634</v>
          </cell>
          <cell r="F142">
            <v>44257</v>
          </cell>
          <cell r="G142">
            <v>58455</v>
          </cell>
          <cell r="H142">
            <v>85677</v>
          </cell>
          <cell r="K142">
            <v>37834</v>
          </cell>
          <cell r="L142">
            <v>4934</v>
          </cell>
          <cell r="M142">
            <v>6366</v>
          </cell>
          <cell r="N142">
            <v>7052</v>
          </cell>
          <cell r="O142">
            <v>17246</v>
          </cell>
        </row>
        <row r="143">
          <cell r="A143">
            <v>37865</v>
          </cell>
          <cell r="B143">
            <v>39823</v>
          </cell>
          <cell r="C143">
            <v>41092</v>
          </cell>
          <cell r="D143">
            <v>41560</v>
          </cell>
          <cell r="E143">
            <v>51556</v>
          </cell>
          <cell r="F143">
            <v>44503</v>
          </cell>
          <cell r="G143">
            <v>58430</v>
          </cell>
          <cell r="H143">
            <v>85730</v>
          </cell>
          <cell r="K143">
            <v>37865</v>
          </cell>
          <cell r="L143">
            <v>4885</v>
          </cell>
          <cell r="M143">
            <v>6101</v>
          </cell>
          <cell r="N143">
            <v>6467</v>
          </cell>
          <cell r="O143">
            <v>16483</v>
          </cell>
        </row>
        <row r="144">
          <cell r="A144">
            <v>37895</v>
          </cell>
          <cell r="B144">
            <v>39836</v>
          </cell>
          <cell r="C144">
            <v>41141</v>
          </cell>
          <cell r="D144">
            <v>41533</v>
          </cell>
          <cell r="E144">
            <v>51588</v>
          </cell>
          <cell r="F144">
            <v>45226</v>
          </cell>
          <cell r="G144">
            <v>58818</v>
          </cell>
          <cell r="H144">
            <v>84530</v>
          </cell>
          <cell r="K144">
            <v>37895</v>
          </cell>
          <cell r="L144">
            <v>4857</v>
          </cell>
          <cell r="M144">
            <v>6022</v>
          </cell>
          <cell r="N144">
            <v>6364</v>
          </cell>
          <cell r="O144">
            <v>16428</v>
          </cell>
        </row>
        <row r="145">
          <cell r="A145">
            <v>37926</v>
          </cell>
          <cell r="B145">
            <v>39766</v>
          </cell>
          <cell r="C145">
            <v>41123</v>
          </cell>
          <cell r="D145">
            <v>41687</v>
          </cell>
          <cell r="E145">
            <v>51541</v>
          </cell>
          <cell r="F145">
            <v>46003</v>
          </cell>
          <cell r="G145">
            <v>58997</v>
          </cell>
          <cell r="H145">
            <v>85068</v>
          </cell>
          <cell r="K145">
            <v>37926</v>
          </cell>
          <cell r="L145">
            <v>4693</v>
          </cell>
          <cell r="M145">
            <v>5973</v>
          </cell>
          <cell r="N145">
            <v>6445</v>
          </cell>
          <cell r="O145">
            <v>16320</v>
          </cell>
        </row>
        <row r="146">
          <cell r="A146">
            <v>37956</v>
          </cell>
          <cell r="B146">
            <v>39369</v>
          </cell>
          <cell r="C146">
            <v>40392</v>
          </cell>
          <cell r="D146">
            <v>40352</v>
          </cell>
          <cell r="E146">
            <v>51192</v>
          </cell>
          <cell r="F146">
            <v>45343</v>
          </cell>
          <cell r="G146">
            <v>57382</v>
          </cell>
          <cell r="H146">
            <v>80343</v>
          </cell>
          <cell r="K146">
            <v>37956</v>
          </cell>
          <cell r="L146">
            <v>4854</v>
          </cell>
          <cell r="M146">
            <v>5909</v>
          </cell>
          <cell r="N146">
            <v>5862</v>
          </cell>
          <cell r="O146">
            <v>12878</v>
          </cell>
        </row>
        <row r="147">
          <cell r="A147">
            <v>37987</v>
          </cell>
          <cell r="B147">
            <v>38129</v>
          </cell>
          <cell r="C147">
            <v>39967</v>
          </cell>
          <cell r="D147">
            <v>40231</v>
          </cell>
          <cell r="E147">
            <v>51480</v>
          </cell>
          <cell r="F147">
            <v>45057</v>
          </cell>
          <cell r="G147">
            <v>57101</v>
          </cell>
          <cell r="H147">
            <v>82566</v>
          </cell>
          <cell r="K147">
            <v>37987</v>
          </cell>
          <cell r="L147">
            <v>4735</v>
          </cell>
          <cell r="M147">
            <v>6498</v>
          </cell>
          <cell r="N147">
            <v>6644</v>
          </cell>
          <cell r="O147">
            <v>15298</v>
          </cell>
        </row>
        <row r="148">
          <cell r="A148">
            <v>38018</v>
          </cell>
          <cell r="B148">
            <v>40230</v>
          </cell>
          <cell r="C148">
            <v>44686</v>
          </cell>
          <cell r="D148">
            <v>42141</v>
          </cell>
          <cell r="E148">
            <v>53739</v>
          </cell>
          <cell r="F148">
            <v>48157</v>
          </cell>
          <cell r="G148">
            <v>60336</v>
          </cell>
          <cell r="H148">
            <v>89224</v>
          </cell>
          <cell r="K148">
            <v>38018</v>
          </cell>
          <cell r="L148">
            <v>5424</v>
          </cell>
          <cell r="M148">
            <v>6198</v>
          </cell>
          <cell r="N148">
            <v>7167</v>
          </cell>
          <cell r="O148">
            <v>18730</v>
          </cell>
        </row>
        <row r="149">
          <cell r="A149">
            <v>38047</v>
          </cell>
          <cell r="B149">
            <v>40371.2</v>
          </cell>
          <cell r="C149">
            <v>42069.8</v>
          </cell>
          <cell r="D149">
            <v>42795.8</v>
          </cell>
          <cell r="E149">
            <v>54342.5</v>
          </cell>
          <cell r="F149">
            <v>49298.25</v>
          </cell>
          <cell r="G149">
            <v>61647.75</v>
          </cell>
          <cell r="H149">
            <v>92966.25</v>
          </cell>
          <cell r="K149">
            <v>38047</v>
          </cell>
          <cell r="L149">
            <v>5052</v>
          </cell>
          <cell r="M149">
            <v>6668</v>
          </cell>
          <cell r="N149">
            <v>7300</v>
          </cell>
          <cell r="O149">
            <v>18908</v>
          </cell>
        </row>
        <row r="150">
          <cell r="A150">
            <v>38078</v>
          </cell>
          <cell r="B150">
            <v>41147.25</v>
          </cell>
          <cell r="C150">
            <v>42375.75</v>
          </cell>
          <cell r="D150">
            <v>48199</v>
          </cell>
          <cell r="E150">
            <v>52769.2</v>
          </cell>
          <cell r="F150">
            <v>51004.4</v>
          </cell>
          <cell r="G150">
            <v>60875</v>
          </cell>
          <cell r="H150">
            <v>90220</v>
          </cell>
          <cell r="K150">
            <v>38078</v>
          </cell>
          <cell r="L150">
            <v>5460</v>
          </cell>
          <cell r="M150">
            <v>6631</v>
          </cell>
          <cell r="N150">
            <v>8590</v>
          </cell>
          <cell r="O150">
            <v>16964</v>
          </cell>
        </row>
        <row r="151">
          <cell r="A151">
            <v>38108</v>
          </cell>
          <cell r="B151">
            <v>40843</v>
          </cell>
          <cell r="C151">
            <v>42016</v>
          </cell>
          <cell r="D151">
            <v>42678</v>
          </cell>
          <cell r="E151">
            <v>53529</v>
          </cell>
          <cell r="F151">
            <v>49728</v>
          </cell>
          <cell r="G151">
            <v>61005</v>
          </cell>
          <cell r="H151">
            <v>89953</v>
          </cell>
          <cell r="K151">
            <v>38108</v>
          </cell>
          <cell r="L151">
            <v>4872</v>
          </cell>
          <cell r="M151">
            <v>6134</v>
          </cell>
          <cell r="N151">
            <v>6702</v>
          </cell>
          <cell r="O151">
            <v>17564</v>
          </cell>
        </row>
        <row r="152">
          <cell r="A152">
            <v>38139</v>
          </cell>
          <cell r="B152">
            <v>41339.25</v>
          </cell>
          <cell r="C152">
            <v>42214</v>
          </cell>
          <cell r="D152">
            <v>42588</v>
          </cell>
          <cell r="E152">
            <v>56860.25</v>
          </cell>
          <cell r="F152">
            <v>50025.5</v>
          </cell>
          <cell r="G152">
            <v>61034</v>
          </cell>
          <cell r="H152">
            <v>89163</v>
          </cell>
          <cell r="K152">
            <v>38139</v>
          </cell>
          <cell r="L152">
            <v>5198</v>
          </cell>
          <cell r="M152">
            <v>6142</v>
          </cell>
          <cell r="N152">
            <v>6405</v>
          </cell>
          <cell r="O152">
            <v>16810</v>
          </cell>
        </row>
        <row r="153">
          <cell r="A153" t="str">
            <v>2002</v>
          </cell>
          <cell r="B153">
            <v>47736.5</v>
          </cell>
          <cell r="C153">
            <v>47897.5</v>
          </cell>
          <cell r="D153">
            <v>48615.833333333336</v>
          </cell>
          <cell r="E153">
            <v>57761.833333333336</v>
          </cell>
          <cell r="F153">
            <v>48829.916666666664</v>
          </cell>
          <cell r="G153">
            <v>62891.916666666664</v>
          </cell>
          <cell r="H153">
            <v>89650.83333333333</v>
          </cell>
          <cell r="K153" t="str">
            <v>2002</v>
          </cell>
          <cell r="L153">
            <v>7732.833333333333</v>
          </cell>
          <cell r="M153">
            <v>7486.333333333333</v>
          </cell>
          <cell r="N153">
            <v>8116.75</v>
          </cell>
          <cell r="O153">
            <v>17522.75</v>
          </cell>
        </row>
        <row r="154">
          <cell r="A154" t="str">
            <v>3.1.1. Evolução Anual (CGAR)</v>
          </cell>
          <cell r="B154">
            <v>41442.25</v>
          </cell>
          <cell r="C154">
            <v>42578.875</v>
          </cell>
          <cell r="D154">
            <v>42948.75</v>
          </cell>
          <cell r="E154">
            <v>53784.5</v>
          </cell>
          <cell r="F154">
            <v>44199.375</v>
          </cell>
          <cell r="G154">
            <v>58774.125</v>
          </cell>
          <cell r="H154">
            <v>86411.25</v>
          </cell>
          <cell r="K154" t="str">
            <v>3.2.1. Evolução Anual (CGAR)</v>
          </cell>
          <cell r="L154">
            <v>5464.125</v>
          </cell>
          <cell r="M154">
            <v>6589</v>
          </cell>
          <cell r="N154">
            <v>6987.625</v>
          </cell>
          <cell r="O154">
            <v>17406</v>
          </cell>
        </row>
        <row r="155">
          <cell r="A155" t="str">
            <v>CAGR</v>
          </cell>
          <cell r="B155">
            <v>0.02991023400573578</v>
          </cell>
          <cell r="C155">
            <v>0.018127606540838448</v>
          </cell>
          <cell r="D155">
            <v>0.022170576715569323</v>
          </cell>
          <cell r="E155">
            <v>0.0221091653633525</v>
          </cell>
          <cell r="F155">
            <v>0.013032868788914298</v>
          </cell>
          <cell r="G155">
            <v>0.025032773032898747</v>
          </cell>
          <cell r="H155">
            <v>-0.0011411970054171494</v>
          </cell>
          <cell r="K155" t="str">
            <v>CAGR</v>
          </cell>
          <cell r="L155">
            <v>-0.07515818977855493</v>
          </cell>
          <cell r="M155">
            <v>-0.09246374241687272</v>
          </cell>
          <cell r="N155">
            <v>-0.07359615047477541</v>
          </cell>
          <cell r="O155">
            <v>-0.046013369121300496</v>
          </cell>
        </row>
        <row r="156">
          <cell r="A156" t="str">
            <v>Ano</v>
          </cell>
          <cell r="B156" t="str">
            <v>Segunda</v>
          </cell>
          <cell r="C156" t="str">
            <v>Terça</v>
          </cell>
          <cell r="D156" t="str">
            <v>Quarta</v>
          </cell>
          <cell r="E156" t="str">
            <v>Quinta</v>
          </cell>
          <cell r="F156" t="str">
            <v>Sexta</v>
          </cell>
          <cell r="G156" t="str">
            <v>Sábado</v>
          </cell>
          <cell r="H156" t="str">
            <v>Domingo</v>
          </cell>
          <cell r="K156" t="str">
            <v>Ano</v>
          </cell>
          <cell r="L156" t="str">
            <v>Segunda</v>
          </cell>
          <cell r="M156" t="str">
            <v>Terça</v>
          </cell>
          <cell r="N156" t="str">
            <v>Quarta</v>
          </cell>
          <cell r="O156" t="str">
            <v>Quinta</v>
          </cell>
        </row>
        <row r="157">
          <cell r="A157" t="str">
            <v>1996</v>
          </cell>
          <cell r="B157">
            <v>47209.333333333336</v>
          </cell>
          <cell r="C157">
            <v>50989.166666666664</v>
          </cell>
          <cell r="D157">
            <v>50728.833333333336</v>
          </cell>
          <cell r="E157">
            <v>60539.333333333336</v>
          </cell>
          <cell r="F157">
            <v>52199.833333333336</v>
          </cell>
          <cell r="G157">
            <v>60250.166666666664</v>
          </cell>
          <cell r="H157">
            <v>93995</v>
          </cell>
          <cell r="K157" t="str">
            <v>1996</v>
          </cell>
          <cell r="L157">
            <v>14103.916666666666</v>
          </cell>
          <cell r="M157">
            <v>17859.916666666668</v>
          </cell>
          <cell r="N157">
            <v>17289.083333333332</v>
          </cell>
          <cell r="O157">
            <v>27075.583333333332</v>
          </cell>
        </row>
        <row r="158">
          <cell r="A158" t="str">
            <v>1997</v>
          </cell>
          <cell r="B158">
            <v>54148.75</v>
          </cell>
          <cell r="C158">
            <v>56815.5</v>
          </cell>
          <cell r="D158">
            <v>56825.916666666664</v>
          </cell>
          <cell r="E158">
            <v>66561.83333333333</v>
          </cell>
          <cell r="F158">
            <v>56807.75</v>
          </cell>
          <cell r="G158">
            <v>72190.33333333333</v>
          </cell>
          <cell r="H158">
            <v>100538</v>
          </cell>
          <cell r="K158" t="str">
            <v>1997</v>
          </cell>
          <cell r="L158">
            <v>12065.583333333334</v>
          </cell>
          <cell r="M158">
            <v>14779.916666666666</v>
          </cell>
          <cell r="N158">
            <v>14743.166666666666</v>
          </cell>
          <cell r="O158">
            <v>23948.083333333332</v>
          </cell>
        </row>
        <row r="159">
          <cell r="A159" t="str">
            <v>1998</v>
          </cell>
          <cell r="B159">
            <v>53870.166666666664</v>
          </cell>
          <cell r="C159">
            <v>55400.583333333336</v>
          </cell>
          <cell r="D159">
            <v>55945.666666666664</v>
          </cell>
          <cell r="E159">
            <v>67050.66666666667</v>
          </cell>
          <cell r="F159">
            <v>56104.916666666664</v>
          </cell>
          <cell r="G159">
            <v>70737.75</v>
          </cell>
          <cell r="H159">
            <v>98894.83333333333</v>
          </cell>
          <cell r="K159" t="str">
            <v>1998</v>
          </cell>
          <cell r="L159">
            <v>12278.833333333334</v>
          </cell>
          <cell r="M159">
            <v>14102.166666666666</v>
          </cell>
          <cell r="N159">
            <v>15128.833333333334</v>
          </cell>
          <cell r="O159">
            <v>25767.416666666668</v>
          </cell>
        </row>
        <row r="160">
          <cell r="A160" t="str">
            <v>1999</v>
          </cell>
          <cell r="B160">
            <v>50936.583333333336</v>
          </cell>
          <cell r="C160">
            <v>55011.75</v>
          </cell>
          <cell r="D160">
            <v>53650.75</v>
          </cell>
          <cell r="E160">
            <v>62888.5</v>
          </cell>
          <cell r="F160">
            <v>53432.083333333336</v>
          </cell>
          <cell r="G160">
            <v>66562.66666666667</v>
          </cell>
          <cell r="H160">
            <v>92102.83333333333</v>
          </cell>
          <cell r="K160" t="str">
            <v>1999</v>
          </cell>
          <cell r="L160">
            <v>10385.166666666666</v>
          </cell>
          <cell r="M160">
            <v>13508.25</v>
          </cell>
          <cell r="N160">
            <v>12952.166666666666</v>
          </cell>
          <cell r="O160">
            <v>22150.083333333332</v>
          </cell>
        </row>
        <row r="161">
          <cell r="A161" t="str">
            <v>2000</v>
          </cell>
          <cell r="B161">
            <v>53116</v>
          </cell>
          <cell r="C161">
            <v>54788.166666666664</v>
          </cell>
          <cell r="D161">
            <v>55379.416666666664</v>
          </cell>
          <cell r="E161">
            <v>66073.41666666667</v>
          </cell>
          <cell r="F161">
            <v>54974.75</v>
          </cell>
          <cell r="G161">
            <v>66513.41666666667</v>
          </cell>
          <cell r="H161">
            <v>93566.66666666667</v>
          </cell>
          <cell r="K161" t="str">
            <v>2000</v>
          </cell>
          <cell r="L161">
            <v>10318.333333333334</v>
          </cell>
          <cell r="M161">
            <v>12115.333333333334</v>
          </cell>
          <cell r="N161">
            <v>12734.25</v>
          </cell>
          <cell r="O161">
            <v>22425.75</v>
          </cell>
        </row>
        <row r="162">
          <cell r="A162" t="str">
            <v>2001</v>
          </cell>
          <cell r="B162">
            <v>49871.75</v>
          </cell>
          <cell r="C162">
            <v>52079.583333333336</v>
          </cell>
          <cell r="D162">
            <v>52415.166666666664</v>
          </cell>
          <cell r="E162">
            <v>61952.5</v>
          </cell>
          <cell r="F162">
            <v>53415.166666666664</v>
          </cell>
          <cell r="G162">
            <v>64029.916666666664</v>
          </cell>
          <cell r="H162">
            <v>90886.75</v>
          </cell>
          <cell r="K162" t="str">
            <v>2001</v>
          </cell>
          <cell r="L162">
            <v>7463.25</v>
          </cell>
          <cell r="M162">
            <v>9134.916666666666</v>
          </cell>
          <cell r="N162">
            <v>10061.416666666666</v>
          </cell>
          <cell r="O162">
            <v>19258</v>
          </cell>
        </row>
        <row r="163">
          <cell r="A163" t="str">
            <v>2002</v>
          </cell>
          <cell r="B163">
            <v>47736.5</v>
          </cell>
          <cell r="C163">
            <v>47897.5</v>
          </cell>
          <cell r="D163">
            <v>48615.833333333336</v>
          </cell>
          <cell r="E163">
            <v>57761.833333333336</v>
          </cell>
          <cell r="F163">
            <v>48829.916666666664</v>
          </cell>
          <cell r="G163">
            <v>62891.916666666664</v>
          </cell>
          <cell r="H163">
            <v>89650.83333333333</v>
          </cell>
          <cell r="K163" t="str">
            <v>2002</v>
          </cell>
          <cell r="L163">
            <v>7732.833333333333</v>
          </cell>
          <cell r="M163">
            <v>7486.333333333333</v>
          </cell>
          <cell r="N163">
            <v>8116.75</v>
          </cell>
          <cell r="O163">
            <v>17522.75</v>
          </cell>
        </row>
        <row r="164">
          <cell r="A164" t="str">
            <v>2003</v>
          </cell>
          <cell r="B164">
            <v>40861</v>
          </cell>
          <cell r="C164">
            <v>42031.583333333336</v>
          </cell>
          <cell r="D164">
            <v>42393.5</v>
          </cell>
          <cell r="E164">
            <v>53012.75</v>
          </cell>
          <cell r="F164">
            <v>44555.833333333336</v>
          </cell>
          <cell r="G164">
            <v>58651.666666666664</v>
          </cell>
          <cell r="H164">
            <v>85580.08333333333</v>
          </cell>
          <cell r="K164" t="str">
            <v>2003</v>
          </cell>
          <cell r="L164">
            <v>5250.166666666667</v>
          </cell>
          <cell r="M164">
            <v>6393.083333333333</v>
          </cell>
          <cell r="N164">
            <v>6753.25</v>
          </cell>
          <cell r="O164">
            <v>16779.75</v>
          </cell>
        </row>
        <row r="165">
          <cell r="A165" t="str">
            <v>CGAR</v>
          </cell>
          <cell r="B165">
            <v>40590.25</v>
          </cell>
          <cell r="C165">
            <v>41804.666666666664</v>
          </cell>
          <cell r="D165">
            <v>41995.583333333336</v>
          </cell>
          <cell r="E165">
            <v>52786.666666666664</v>
          </cell>
          <cell r="F165">
            <v>44672.166666666664</v>
          </cell>
          <cell r="G165">
            <v>58532.583333333336</v>
          </cell>
          <cell r="H165">
            <v>85296.41666666667</v>
          </cell>
          <cell r="K165" t="str">
            <v>CGAR</v>
          </cell>
          <cell r="L165">
            <v>5155.25</v>
          </cell>
          <cell r="M165">
            <v>6338.416666666667</v>
          </cell>
          <cell r="N165">
            <v>6719.916666666667</v>
          </cell>
          <cell r="O165">
            <v>16500</v>
          </cell>
        </row>
        <row r="166">
          <cell r="A166">
            <v>0</v>
          </cell>
          <cell r="B166">
            <v>40507.91875</v>
          </cell>
          <cell r="C166">
            <v>41951.284375</v>
          </cell>
          <cell r="D166">
            <v>42375.05</v>
          </cell>
          <cell r="E166">
            <v>53067.746875</v>
          </cell>
          <cell r="F166">
            <v>46206.884375</v>
          </cell>
          <cell r="G166">
            <v>59179.609375</v>
          </cell>
          <cell r="H166">
            <v>86503.515625</v>
          </cell>
          <cell r="K166">
            <v>0</v>
          </cell>
          <cell r="L166">
            <v>5101.625</v>
          </cell>
          <cell r="M166">
            <v>6294.75</v>
          </cell>
          <cell r="N166">
            <v>6826</v>
          </cell>
          <cell r="O166">
            <v>16752.875</v>
          </cell>
        </row>
        <row r="167">
          <cell r="A167">
            <v>37987</v>
          </cell>
          <cell r="B167">
            <v>40343.28333333333</v>
          </cell>
          <cell r="C167">
            <v>42221.424999999996</v>
          </cell>
          <cell r="D167">
            <v>43105.46666666667</v>
          </cell>
          <cell r="E167">
            <v>53786.65833333333</v>
          </cell>
          <cell r="F167">
            <v>48878.35833333334</v>
          </cell>
          <cell r="G167">
            <v>60333.125</v>
          </cell>
          <cell r="H167">
            <v>89015.375</v>
          </cell>
          <cell r="K167">
            <v>37987</v>
          </cell>
          <cell r="L167">
            <v>5123.5</v>
          </cell>
          <cell r="M167">
            <v>6378.5</v>
          </cell>
          <cell r="N167">
            <v>7134.666666666667</v>
          </cell>
          <cell r="O167">
            <v>17379</v>
          </cell>
        </row>
        <row r="168">
          <cell r="A168" t="str">
            <v>jan-ago/02</v>
          </cell>
          <cell r="B168">
            <v>47975</v>
          </cell>
          <cell r="C168">
            <v>48469.5</v>
          </cell>
          <cell r="D168">
            <v>49089.25</v>
          </cell>
          <cell r="E168">
            <v>58518</v>
          </cell>
          <cell r="F168">
            <v>49019.75</v>
          </cell>
          <cell r="G168">
            <v>62825.375</v>
          </cell>
          <cell r="H168">
            <v>90835.875</v>
          </cell>
          <cell r="K168" t="str">
            <v>jan-ago/02</v>
          </cell>
          <cell r="L168">
            <v>7410.25</v>
          </cell>
          <cell r="M168">
            <v>7265.625</v>
          </cell>
          <cell r="N168">
            <v>8168.875</v>
          </cell>
          <cell r="O168">
            <v>17596.125</v>
          </cell>
        </row>
        <row r="169">
          <cell r="A169" t="str">
            <v>3.1.2. Comparativos Mês x Mês</v>
          </cell>
          <cell r="B169">
            <v>41442.25</v>
          </cell>
          <cell r="C169">
            <v>42578.875</v>
          </cell>
          <cell r="D169">
            <v>42948.75</v>
          </cell>
          <cell r="E169">
            <v>53784.5</v>
          </cell>
          <cell r="F169">
            <v>44199.375</v>
          </cell>
          <cell r="G169">
            <v>58774.125</v>
          </cell>
          <cell r="H169">
            <v>86411.25</v>
          </cell>
          <cell r="K169" t="str">
            <v>3.2.2. Comparativos Mês x Mês</v>
          </cell>
          <cell r="L169">
            <v>5464.125</v>
          </cell>
          <cell r="M169">
            <v>6589</v>
          </cell>
          <cell r="N169">
            <v>6987.625</v>
          </cell>
          <cell r="O169">
            <v>17406</v>
          </cell>
        </row>
        <row r="170">
          <cell r="A170" t="str">
            <v>jan-ago/02 x 03</v>
          </cell>
          <cell r="B170">
            <v>-0.13616988014590936</v>
          </cell>
          <cell r="C170">
            <v>-0.12153261329289555</v>
          </cell>
          <cell r="D170">
            <v>-0.12508848678682194</v>
          </cell>
          <cell r="E170">
            <v>-0.08088964079428551</v>
          </cell>
          <cell r="F170">
            <v>-0.09833536482744198</v>
          </cell>
          <cell r="G170">
            <v>-0.06448429476147177</v>
          </cell>
          <cell r="H170">
            <v>-0.04871010490073446</v>
          </cell>
          <cell r="K170" t="str">
            <v>jan-ago/02 x 03</v>
          </cell>
          <cell r="L170">
            <v>-0.262626092237104</v>
          </cell>
          <cell r="M170">
            <v>-0.09312688172043015</v>
          </cell>
          <cell r="N170">
            <v>-0.14460375510703738</v>
          </cell>
          <cell r="O170">
            <v>-0.010804935745796329</v>
          </cell>
        </row>
        <row r="171">
          <cell r="A171" t="str">
            <v>Período</v>
          </cell>
          <cell r="B171" t="str">
            <v>Segunda</v>
          </cell>
          <cell r="C171" t="str">
            <v>Terça</v>
          </cell>
          <cell r="D171" t="str">
            <v>Quarta</v>
          </cell>
          <cell r="E171" t="str">
            <v>Quinta</v>
          </cell>
          <cell r="F171" t="str">
            <v>Sexta</v>
          </cell>
          <cell r="G171" t="str">
            <v>Sábado</v>
          </cell>
          <cell r="H171" t="str">
            <v>Domingo</v>
          </cell>
          <cell r="K171" t="str">
            <v>Período</v>
          </cell>
          <cell r="L171" t="str">
            <v>Segunda</v>
          </cell>
          <cell r="M171" t="str">
            <v>Terça</v>
          </cell>
          <cell r="N171" t="str">
            <v>Quarta</v>
          </cell>
          <cell r="O171" t="str">
            <v>Quinta</v>
          </cell>
        </row>
        <row r="172">
          <cell r="A172" t="str">
            <v>Jun/04 x Mai/04</v>
          </cell>
        </row>
        <row r="173">
          <cell r="A173" t="str">
            <v>Jun/04 x Jun/03</v>
          </cell>
        </row>
        <row r="174">
          <cell r="A174" t="str">
            <v>Período</v>
          </cell>
        </row>
        <row r="175">
          <cell r="A175" t="str">
            <v>3.1.3. Comparativo do Acumulado no Período</v>
          </cell>
        </row>
        <row r="176">
          <cell r="A176" t="str">
            <v>3.1.3. Comparativo do Acumulado no Período</v>
          </cell>
        </row>
        <row r="177">
          <cell r="A177" t="str">
            <v>Período</v>
          </cell>
        </row>
        <row r="178">
          <cell r="A178" t="str">
            <v>Período</v>
          </cell>
        </row>
        <row r="179">
          <cell r="A179" t="str">
            <v>jul-jun/03</v>
          </cell>
        </row>
        <row r="180">
          <cell r="A180" t="str">
            <v>jul-jun/04</v>
          </cell>
        </row>
        <row r="181">
          <cell r="A181" t="str">
            <v>jul-jun/03 x 04</v>
          </cell>
        </row>
        <row r="182">
          <cell r="A182" t="str">
            <v>Set-Ago/04</v>
          </cell>
        </row>
        <row r="183">
          <cell r="A183" t="str">
            <v>Set-Ago/04 x 03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elemig"/>
      <sheetName val="Telenorte"/>
      <sheetName val="Telemig DRE"/>
      <sheetName val="Telenorte DRE"/>
      <sheetName val="Telemig DCF"/>
      <sheetName val="Telenorte DCF"/>
      <sheetName val="Deprec."/>
      <sheetName val="Assump. Sens."/>
      <sheetName val="Assinant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asta2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1"/>
      <sheetName val="Assinaturas"/>
      <sheetName val="Vda Avulsa NOVA"/>
      <sheetName val="Vda Avulsa ANTIGA"/>
      <sheetName val="Desagr_pp"/>
      <sheetName val="DESPESA FINANCEIRA"/>
      <sheetName val="COPARA BP"/>
      <sheetName val="RESUMOS"/>
      <sheetName val="GERAL dolar"/>
      <sheetName val="GERAL"/>
      <sheetName val="CB"/>
      <sheetName val="DIIND"/>
      <sheetName val="DIRED"/>
      <sheetName val="DICOM"/>
      <sheetName val="DICIR"/>
      <sheetName val="DIFIN"/>
      <sheetName val="DIPLA"/>
      <sheetName val="EST"/>
      <sheetName val="DIREX"/>
      <sheetName val="SUMAR"/>
      <sheetName val="SUTEC"/>
      <sheetName val="TVB"/>
      <sheetName val="TV GO"/>
      <sheetName val="RD"/>
      <sheetName val="SUN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292">
          <cell r="J292">
            <v>-1300000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679">
          <cell r="I679">
            <v>4375339.37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ainel"/>
      <sheetName val="Cliente"/>
      <sheetName val="BD1"/>
      <sheetName val="BD2"/>
      <sheetName val="BD3"/>
      <sheetName val="par"/>
      <sheetName val="rasc"/>
      <sheetName val="ajuste"/>
      <sheetName val="Config"/>
      <sheetName val="VALIDAÇÃO"/>
    </sheetNames>
    <sheetDataSet>
      <sheetData sheetId="9">
        <row r="21">
          <cell r="F21" t="str">
            <v>Permuta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ês"/>
      <sheetName val="Gráf2"/>
      <sheetName val="Real"/>
      <sheetName val="Orçado"/>
      <sheetName val="Juros Conta Garantida"/>
      <sheetName val="Impressão (2)"/>
      <sheetName val="Câmbio-GRAF"/>
      <sheetName val="Resumo Despesa Financeira Valor"/>
      <sheetName val="Cartas de Crédito 2003"/>
      <sheetName val="Novos Empréstimos"/>
      <sheetName val="Orçamento 2003"/>
      <sheetName val="Gráf1"/>
      <sheetName val="Plan1"/>
      <sheetName val="Fonte"/>
      <sheetName val="End. Bancário SACB"/>
      <sheetName val="Gráf3"/>
      <sheetName val="EBITDA-mídia AM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ês"/>
      <sheetName val="Resumo"/>
      <sheetName val="Total"/>
      <sheetName val="CB"/>
      <sheetName val="DIIND"/>
      <sheetName val="DIRED"/>
      <sheetName val="DICOM"/>
      <sheetName val="DICIR"/>
      <sheetName val="DIFIN"/>
      <sheetName val="SUDERH"/>
      <sheetName val="DIEST"/>
      <sheetName val="DIREX"/>
      <sheetName val="SUTEC"/>
      <sheetName val="SURAD"/>
      <sheetName val="SUTEG"/>
      <sheetName val="SUNET"/>
    </sheetNames>
    <sheetDataSet>
      <sheetData sheetId="2">
        <row r="5">
          <cell r="R5" t="str">
            <v>Acumulado até Dez/02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alance_Sheet"/>
      <sheetName val="Income_Statement"/>
      <sheetName val="Cash_Flow_Stmt"/>
      <sheetName val="Debt"/>
      <sheetName val="Inc_Stmt_Assumptions"/>
      <sheetName val="Debt_Repayment"/>
      <sheetName val="Performance_Assumptions"/>
      <sheetName val="Wrk_Capital_Assumptions"/>
      <sheetName val="Bk_Depn_Schedule"/>
      <sheetName val="Capital_Structure"/>
      <sheetName val="Ratio_Analysis"/>
      <sheetName val="Free_Cash_Flow_Summary"/>
      <sheetName val="CF Overview"/>
      <sheetName val="CF_Table"/>
      <sheetName val="Sources_Uses"/>
      <sheetName val="Module1"/>
      <sheetName val="Summary"/>
      <sheetName val="Returns_Calculation"/>
      <sheetName val="Asset_Sales"/>
      <sheetName val="Tax_Depn_Schedule"/>
      <sheetName val="Income_Tax_Calculation"/>
      <sheetName val="Disc_Cash_Flow_Analysis"/>
      <sheetName val="Wgt_Avg_Cost"/>
    </sheetNames>
    <sheetDataSet>
      <sheetData sheetId="14">
        <row r="14">
          <cell r="D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Jornal"/>
      <sheetName val="TVB"/>
      <sheetName val="TVG"/>
      <sheetName val="Rádios"/>
      <sheetName val="CWeb"/>
    </sheetNames>
    <sheetDataSet>
      <sheetData sheetId="0">
        <row r="2">
          <cell r="A2">
            <v>37256</v>
          </cell>
        </row>
        <row r="6">
          <cell r="A6" t="str">
            <v> </v>
          </cell>
        </row>
        <row r="10">
          <cell r="A10" t="str">
            <v>Geral</v>
          </cell>
          <cell r="B10" t="str">
            <v>PRÉVIA</v>
          </cell>
          <cell r="C10" t="str">
            <v>ORÇADO</v>
          </cell>
          <cell r="D10" t="str">
            <v>VAR %</v>
          </cell>
        </row>
        <row r="12">
          <cell r="A12" t="str">
            <v>Receita Operac. Bruta</v>
          </cell>
          <cell r="B12">
            <v>8383985.834400643</v>
          </cell>
          <cell r="C12">
            <v>10174905.209159305</v>
          </cell>
          <cell r="D12">
            <v>-0.17601337191293953</v>
          </cell>
        </row>
        <row r="13">
          <cell r="A13" t="str">
            <v>Despesas Operacionais (Impostos Incluídos)</v>
          </cell>
          <cell r="B13">
            <v>-8107760.769833655</v>
          </cell>
          <cell r="C13">
            <v>-8593671.675056107</v>
          </cell>
          <cell r="D13">
            <v>-0.05654287522210699</v>
          </cell>
        </row>
        <row r="14">
          <cell r="A14" t="str">
            <v>EBITDA</v>
          </cell>
          <cell r="B14">
            <v>276225.06456698757</v>
          </cell>
          <cell r="C14">
            <v>1581233.534103198</v>
          </cell>
          <cell r="D14">
            <v>-0.8253103930510495</v>
          </cell>
        </row>
        <row r="15">
          <cell r="A15" t="str">
            <v>% Margem EBITDA</v>
          </cell>
          <cell r="B15">
            <v>0.03419485991522305</v>
          </cell>
          <cell r="C15">
            <v>0.16129240778295373</v>
          </cell>
        </row>
        <row r="16">
          <cell r="A16" t="str">
            <v>Desp Financeira + Depreciação/Amort.</v>
          </cell>
          <cell r="B16">
            <v>1967662.4368441715</v>
          </cell>
          <cell r="C16">
            <v>-667939.4280419308</v>
          </cell>
          <cell r="D16">
            <v>-3.9458695717550136</v>
          </cell>
        </row>
        <row r="17">
          <cell r="A17" t="str">
            <v>Resultado Operacional</v>
          </cell>
          <cell r="B17">
            <v>2243887.501411159</v>
          </cell>
          <cell r="C17">
            <v>913294.1060612672</v>
          </cell>
          <cell r="D17">
            <v>1.4569166564408231</v>
          </cell>
        </row>
        <row r="18">
          <cell r="A18" t="str">
            <v>% Lucratividade</v>
          </cell>
          <cell r="B18">
            <v>0.2676397057118323</v>
          </cell>
          <cell r="C18">
            <v>0.08975947070633472</v>
          </cell>
        </row>
        <row r="38">
          <cell r="A38" t="str">
            <v>DADOS DOS GRÁFICOS / 1000</v>
          </cell>
        </row>
        <row r="40">
          <cell r="B40" t="str">
            <v>Prévia</v>
          </cell>
          <cell r="C40" t="str">
            <v>Orçado</v>
          </cell>
        </row>
        <row r="41">
          <cell r="A41" t="str">
            <v>Receita Operacional Bruta</v>
          </cell>
          <cell r="B41">
            <v>8383.985834400642</v>
          </cell>
          <cell r="C41">
            <v>10174.905209159306</v>
          </cell>
        </row>
        <row r="42">
          <cell r="A42" t="str">
            <v>Depesas Operacionais (Impostos Incluídos)</v>
          </cell>
          <cell r="B42">
            <v>8107.760769833655</v>
          </cell>
          <cell r="C42">
            <v>8593.671675056108</v>
          </cell>
        </row>
        <row r="43">
          <cell r="A43" t="str">
            <v>EBITDA</v>
          </cell>
          <cell r="B43">
            <v>276.22506456698756</v>
          </cell>
          <cell r="C43">
            <v>1581.233534103198</v>
          </cell>
        </row>
        <row r="44">
          <cell r="A44" t="str">
            <v>Resultado Operacional</v>
          </cell>
          <cell r="B44">
            <v>2243.887501411159</v>
          </cell>
          <cell r="C44">
            <v>913.2941060612673</v>
          </cell>
        </row>
        <row r="46">
          <cell r="B46" t="str">
            <v>Rec. Operac. Bruta</v>
          </cell>
          <cell r="C46" t="str">
            <v>Desp. Operac.</v>
          </cell>
        </row>
        <row r="47">
          <cell r="B47" t="str">
            <v>Receita</v>
          </cell>
          <cell r="C47" t="str">
            <v>Desp. Operac.</v>
          </cell>
        </row>
        <row r="48">
          <cell r="A48" t="str">
            <v>Var. Abs Resultado Operacional Prévia - Orçado</v>
          </cell>
          <cell r="B48">
            <v>-1790.9193747586626</v>
          </cell>
          <cell r="C48">
            <v>485.91090522245224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1"/>
      <sheetName val="Assinaturas"/>
      <sheetName val="Vda Avulsa NOVA"/>
      <sheetName val="Vda Avulsa ANTIGA"/>
      <sheetName val="Desagr_pp"/>
      <sheetName val="DESPESA FINANCEIRA"/>
      <sheetName val="COPARA BP"/>
      <sheetName val="RESUMOS"/>
      <sheetName val="GERAL dolar"/>
      <sheetName val="GERAL"/>
      <sheetName val="CB"/>
      <sheetName val="DIIND"/>
      <sheetName val="DIRED"/>
      <sheetName val="DICOM"/>
      <sheetName val="DICIR"/>
      <sheetName val="DIFIN"/>
      <sheetName val="DIPLA"/>
      <sheetName val="EST"/>
      <sheetName val="DIREX"/>
      <sheetName val="SUMAR"/>
      <sheetName val="SUTEC"/>
      <sheetName val="TVB"/>
      <sheetName val="TV GO"/>
      <sheetName val="RD"/>
      <sheetName val="SUN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Patrimonial"/>
      <sheetName val="DRE"/>
      <sheetName val="DFC Indireto"/>
      <sheetName val="Balanço, DRE e DFC"/>
    </sheetNames>
    <definedNames>
      <definedName name="aa" sheetId="2" refersTo="#REF!"/>
      <definedName name="File_Name" sheetId="2" refersTo="#REF!"/>
      <definedName name="STAR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ês"/>
      <sheetName val="Gráf2"/>
      <sheetName val="Real"/>
      <sheetName val="Orçado"/>
      <sheetName val="Juros Conta Garantida"/>
      <sheetName val="Impressão (2)"/>
      <sheetName val="Câmbio-GRAF"/>
      <sheetName val="Resumo Despesa Financeira Valor"/>
      <sheetName val="Cartas de Crédito 2003"/>
      <sheetName val="Novos Empréstimos"/>
      <sheetName val="Orçamento 2003"/>
      <sheetName val="Gráf1"/>
      <sheetName val="Plan1"/>
      <sheetName val="Fonte"/>
      <sheetName val="End. Bancário SACB"/>
      <sheetName val="Gráf3"/>
      <sheetName val="EBITDA-mídia A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ainel"/>
      <sheetName val="Cliente"/>
      <sheetName val="BD1"/>
      <sheetName val="BD2"/>
      <sheetName val="BD3"/>
      <sheetName val="par"/>
      <sheetName val="rasc"/>
      <sheetName val="ajuste"/>
      <sheetName val="Config"/>
      <sheetName val="VALIDAÇÃO"/>
      <sheetName val="CbAnalíticoCaptado100612"/>
    </sheetNames>
    <sheetDataSet>
      <sheetData sheetId="9">
        <row r="25">
          <cell r="B25" t="str">
            <v>Aila Bueno da Fonseca</v>
          </cell>
          <cell r="C25" t="str">
            <v>Camila da Silva Samir Ribeiro</v>
          </cell>
          <cell r="D25" t="str">
            <v>Robson de Oliveira Alencar</v>
          </cell>
          <cell r="G25" t="str">
            <v>Vƒnia Barbosa de Araujo</v>
          </cell>
          <cell r="I25" t="str">
            <v>Ana Carloina de Lima Franco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FC"/>
      <sheetName val="DV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&amp;U"/>
      <sheetName val="VICTEL ($R)"/>
      <sheetName val="VICTEL ($US)"/>
      <sheetName val="Combined"/>
      <sheetName val="Combined ($US)"/>
    </sheetNames>
    <sheetDataSet>
      <sheetData sheetId="1">
        <row r="10">
          <cell r="N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83"/>
  <sheetViews>
    <sheetView showGridLines="0" zoomScale="80" zoomScaleNormal="80" zoomScalePageLayoutView="0" workbookViewId="0" topLeftCell="B1">
      <selection activeCell="B6" sqref="B6:K6"/>
    </sheetView>
  </sheetViews>
  <sheetFormatPr defaultColWidth="1.8515625" defaultRowHeight="15"/>
  <cols>
    <col min="1" max="1" width="2.7109375" style="217" customWidth="1"/>
    <col min="2" max="2" width="24.140625" style="217" bestFit="1" customWidth="1"/>
    <col min="3" max="3" width="87.8515625" style="217" customWidth="1"/>
    <col min="4" max="4" width="20.57421875" style="218" bestFit="1" customWidth="1"/>
    <col min="5" max="6" width="19.421875" style="218" customWidth="1"/>
    <col min="7" max="7" width="20.57421875" style="218" bestFit="1" customWidth="1"/>
    <col min="8" max="8" width="2.57421875" style="219" customWidth="1"/>
    <col min="9" max="9" width="19.8515625" style="317" bestFit="1" customWidth="1"/>
    <col min="10" max="11" width="19.421875" style="317" bestFit="1" customWidth="1"/>
    <col min="12" max="12" width="19.8515625" style="317" bestFit="1" customWidth="1"/>
    <col min="13" max="13" width="9.421875" style="217" bestFit="1" customWidth="1"/>
    <col min="14" max="14" width="1.8515625" style="217" customWidth="1"/>
    <col min="15" max="15" width="17.140625" style="250" customWidth="1"/>
    <col min="16" max="18" width="9.7109375" style="250" customWidth="1"/>
    <col min="19" max="21" width="1.8515625" style="250" customWidth="1"/>
    <col min="22" max="16384" width="1.8515625" style="217" customWidth="1"/>
  </cols>
  <sheetData>
    <row r="1" ht="19.5" customHeight="1" thickBot="1"/>
    <row r="2" spans="2:12" ht="19.5" customHeight="1" thickBot="1">
      <c r="B2" s="220"/>
      <c r="C2" s="221" t="s">
        <v>330</v>
      </c>
      <c r="D2" s="222"/>
      <c r="E2" s="222"/>
      <c r="F2" s="222"/>
      <c r="G2" s="223"/>
      <c r="I2" s="318"/>
      <c r="J2" s="318"/>
      <c r="K2" s="318"/>
      <c r="L2" s="323"/>
    </row>
    <row r="3" spans="2:21" s="224" customFormat="1" ht="19.5" customHeight="1">
      <c r="B3" s="225" t="s">
        <v>90</v>
      </c>
      <c r="C3" s="225" t="s">
        <v>91</v>
      </c>
      <c r="D3" s="226" t="s">
        <v>92</v>
      </c>
      <c r="E3" s="226" t="s">
        <v>93</v>
      </c>
      <c r="F3" s="226" t="s">
        <v>94</v>
      </c>
      <c r="G3" s="226" t="s">
        <v>95</v>
      </c>
      <c r="H3" s="227"/>
      <c r="I3" s="319" t="s">
        <v>92</v>
      </c>
      <c r="J3" s="319" t="s">
        <v>93</v>
      </c>
      <c r="K3" s="319" t="s">
        <v>94</v>
      </c>
      <c r="L3" s="319" t="s">
        <v>95</v>
      </c>
      <c r="O3" s="251"/>
      <c r="P3" s="251"/>
      <c r="Q3" s="251"/>
      <c r="R3" s="251"/>
      <c r="S3" s="251"/>
      <c r="T3" s="251"/>
      <c r="U3" s="251"/>
    </row>
    <row r="4" spans="2:21" s="228" customFormat="1" ht="19.5" customHeight="1">
      <c r="B4" s="229" t="s">
        <v>629</v>
      </c>
      <c r="C4" s="230" t="s">
        <v>3</v>
      </c>
      <c r="D4" s="231">
        <v>88379135.65</v>
      </c>
      <c r="E4" s="231">
        <v>266009285.24</v>
      </c>
      <c r="F4" s="231">
        <v>257992880.62</v>
      </c>
      <c r="G4" s="231">
        <v>96395540.27</v>
      </c>
      <c r="H4" s="232"/>
      <c r="I4" s="320">
        <f aca="true" t="shared" si="0" ref="I4:O4">D4/1000</f>
        <v>88379.13565000001</v>
      </c>
      <c r="J4" s="320">
        <f t="shared" si="0"/>
        <v>266009.28524</v>
      </c>
      <c r="K4" s="320">
        <f t="shared" si="0"/>
        <v>257992.88062</v>
      </c>
      <c r="L4" s="320">
        <f t="shared" si="0"/>
        <v>96395.54027</v>
      </c>
      <c r="M4" s="228">
        <f t="shared" si="0"/>
        <v>0</v>
      </c>
      <c r="N4" s="228">
        <f t="shared" si="0"/>
        <v>88.37913565000001</v>
      </c>
      <c r="O4" s="252">
        <f t="shared" si="0"/>
        <v>266.00928524</v>
      </c>
      <c r="P4" s="252"/>
      <c r="Q4" s="252"/>
      <c r="R4" s="252"/>
      <c r="S4" s="252"/>
      <c r="T4" s="252"/>
      <c r="U4" s="252"/>
    </row>
    <row r="5" spans="2:21" s="228" customFormat="1" ht="19.5" customHeight="1">
      <c r="B5" s="233" t="s">
        <v>630</v>
      </c>
      <c r="C5" s="230" t="s">
        <v>96</v>
      </c>
      <c r="D5" s="231">
        <v>15046495.92</v>
      </c>
      <c r="E5" s="231">
        <v>259338466.73</v>
      </c>
      <c r="F5" s="231">
        <v>254384398.45</v>
      </c>
      <c r="G5" s="231">
        <v>20000564.2</v>
      </c>
      <c r="H5" s="232"/>
      <c r="I5" s="320">
        <f aca="true" t="shared" si="1" ref="I5:I67">D5/1000</f>
        <v>15046.49592</v>
      </c>
      <c r="J5" s="320">
        <f aca="true" t="shared" si="2" ref="J5:J67">E5/1000</f>
        <v>259338.46673</v>
      </c>
      <c r="K5" s="320">
        <f aca="true" t="shared" si="3" ref="K5:K67">F5/1000</f>
        <v>254384.39844999998</v>
      </c>
      <c r="L5" s="321">
        <f aca="true" t="shared" si="4" ref="L5:L67">G5/1000</f>
        <v>20000.5642</v>
      </c>
      <c r="O5" s="252"/>
      <c r="P5" s="252"/>
      <c r="Q5" s="252"/>
      <c r="R5" s="252"/>
      <c r="S5" s="252"/>
      <c r="T5" s="252"/>
      <c r="U5" s="252"/>
    </row>
    <row r="6" spans="2:21" s="228" customFormat="1" ht="19.5" customHeight="1">
      <c r="B6" s="253" t="s">
        <v>631</v>
      </c>
      <c r="C6" s="254" t="s">
        <v>97</v>
      </c>
      <c r="D6" s="255">
        <v>9949313.16</v>
      </c>
      <c r="E6" s="255">
        <v>194137675.8</v>
      </c>
      <c r="F6" s="255">
        <v>188910115.78</v>
      </c>
      <c r="G6" s="255">
        <v>15176873.18</v>
      </c>
      <c r="H6" s="256"/>
      <c r="I6" s="321">
        <f t="shared" si="1"/>
        <v>9949.31316</v>
      </c>
      <c r="J6" s="321">
        <f t="shared" si="2"/>
        <v>194137.67580000003</v>
      </c>
      <c r="K6" s="321">
        <f t="shared" si="3"/>
        <v>188910.11578</v>
      </c>
      <c r="L6" s="321">
        <f t="shared" si="4"/>
        <v>15176.87318</v>
      </c>
      <c r="O6" s="252"/>
      <c r="P6" s="252"/>
      <c r="Q6" s="252"/>
      <c r="R6" s="252"/>
      <c r="S6" s="252"/>
      <c r="T6" s="252"/>
      <c r="U6" s="252"/>
    </row>
    <row r="7" spans="2:21" s="228" customFormat="1" ht="19.5" customHeight="1">
      <c r="B7" s="233" t="s">
        <v>632</v>
      </c>
      <c r="C7" s="230" t="s">
        <v>97</v>
      </c>
      <c r="D7" s="231">
        <v>16494.36</v>
      </c>
      <c r="E7" s="231">
        <v>14390192.69</v>
      </c>
      <c r="F7" s="231">
        <v>14396140.31</v>
      </c>
      <c r="G7" s="231">
        <v>10546.74</v>
      </c>
      <c r="H7" s="232"/>
      <c r="I7" s="320">
        <f t="shared" si="1"/>
        <v>16.49436</v>
      </c>
      <c r="J7" s="320">
        <f t="shared" si="2"/>
        <v>14390.19269</v>
      </c>
      <c r="K7" s="320">
        <f t="shared" si="3"/>
        <v>14396.14031</v>
      </c>
      <c r="L7" s="320">
        <f t="shared" si="4"/>
        <v>10.54674</v>
      </c>
      <c r="O7" s="252"/>
      <c r="P7" s="252"/>
      <c r="Q7" s="252"/>
      <c r="R7" s="252"/>
      <c r="S7" s="252"/>
      <c r="T7" s="252"/>
      <c r="U7" s="252"/>
    </row>
    <row r="8" spans="2:21" s="228" customFormat="1" ht="19.5" customHeight="1">
      <c r="B8" s="233" t="s">
        <v>633</v>
      </c>
      <c r="C8" s="230" t="s">
        <v>98</v>
      </c>
      <c r="D8" s="231">
        <v>6465.88</v>
      </c>
      <c r="E8" s="231">
        <v>12195427.36</v>
      </c>
      <c r="F8" s="231">
        <v>12195427.06</v>
      </c>
      <c r="G8" s="231">
        <v>6466.18</v>
      </c>
      <c r="H8" s="232"/>
      <c r="I8" s="320">
        <f t="shared" si="1"/>
        <v>6.46588</v>
      </c>
      <c r="J8" s="320">
        <f t="shared" si="2"/>
        <v>12195.42736</v>
      </c>
      <c r="K8" s="320">
        <f t="shared" si="3"/>
        <v>12195.42706</v>
      </c>
      <c r="L8" s="320">
        <f t="shared" si="4"/>
        <v>6.4661800000000005</v>
      </c>
      <c r="O8" s="252"/>
      <c r="P8" s="252"/>
      <c r="Q8" s="252"/>
      <c r="R8" s="252"/>
      <c r="S8" s="252"/>
      <c r="T8" s="252"/>
      <c r="U8" s="252"/>
    </row>
    <row r="9" spans="2:12" ht="19.5" customHeight="1">
      <c r="B9" s="234" t="s">
        <v>634</v>
      </c>
      <c r="C9" s="235" t="s">
        <v>99</v>
      </c>
      <c r="D9" s="236">
        <v>6465.88</v>
      </c>
      <c r="E9" s="236">
        <v>12162548.35</v>
      </c>
      <c r="F9" s="236">
        <v>12162548.05</v>
      </c>
      <c r="G9" s="236">
        <v>6466.18</v>
      </c>
      <c r="I9" s="320">
        <f t="shared" si="1"/>
        <v>6.46588</v>
      </c>
      <c r="J9" s="320">
        <f t="shared" si="2"/>
        <v>12162.54835</v>
      </c>
      <c r="K9" s="320">
        <f t="shared" si="3"/>
        <v>12162.548050000001</v>
      </c>
      <c r="L9" s="320">
        <f t="shared" si="4"/>
        <v>6.4661800000000005</v>
      </c>
    </row>
    <row r="10" spans="2:12" ht="19.5" customHeight="1">
      <c r="B10" s="234" t="s">
        <v>635</v>
      </c>
      <c r="C10" s="235" t="s">
        <v>277</v>
      </c>
      <c r="D10" s="236">
        <v>0</v>
      </c>
      <c r="E10" s="236">
        <v>12</v>
      </c>
      <c r="F10" s="236">
        <v>12</v>
      </c>
      <c r="G10" s="236">
        <v>0</v>
      </c>
      <c r="I10" s="320">
        <f t="shared" si="1"/>
        <v>0</v>
      </c>
      <c r="J10" s="320">
        <f t="shared" si="2"/>
        <v>0.012</v>
      </c>
      <c r="K10" s="320">
        <f t="shared" si="3"/>
        <v>0.012</v>
      </c>
      <c r="L10" s="320">
        <f t="shared" si="4"/>
        <v>0</v>
      </c>
    </row>
    <row r="11" spans="2:12" ht="19.5" customHeight="1">
      <c r="B11" s="234" t="s">
        <v>636</v>
      </c>
      <c r="C11" s="235" t="s">
        <v>331</v>
      </c>
      <c r="D11" s="236">
        <v>0</v>
      </c>
      <c r="E11" s="236">
        <v>32867.01</v>
      </c>
      <c r="F11" s="236">
        <v>32867.01</v>
      </c>
      <c r="G11" s="236">
        <v>0</v>
      </c>
      <c r="I11" s="320">
        <f t="shared" si="1"/>
        <v>0</v>
      </c>
      <c r="J11" s="320">
        <f t="shared" si="2"/>
        <v>32.86701</v>
      </c>
      <c r="K11" s="320">
        <f t="shared" si="3"/>
        <v>32.86701</v>
      </c>
      <c r="L11" s="320">
        <f t="shared" si="4"/>
        <v>0</v>
      </c>
    </row>
    <row r="12" spans="2:21" s="228" customFormat="1" ht="19.5" customHeight="1">
      <c r="B12" s="233" t="s">
        <v>637</v>
      </c>
      <c r="C12" s="230" t="s">
        <v>100</v>
      </c>
      <c r="D12" s="231">
        <v>10028.48</v>
      </c>
      <c r="E12" s="231">
        <v>2194765.33</v>
      </c>
      <c r="F12" s="231">
        <v>2200713.25</v>
      </c>
      <c r="G12" s="231">
        <v>4080.56</v>
      </c>
      <c r="H12" s="232"/>
      <c r="I12" s="320">
        <f t="shared" si="1"/>
        <v>10.02848</v>
      </c>
      <c r="J12" s="320">
        <f t="shared" si="2"/>
        <v>2194.76533</v>
      </c>
      <c r="K12" s="320">
        <f t="shared" si="3"/>
        <v>2200.71325</v>
      </c>
      <c r="L12" s="320">
        <f t="shared" si="4"/>
        <v>4.08056</v>
      </c>
      <c r="O12" s="252"/>
      <c r="P12" s="252"/>
      <c r="Q12" s="252"/>
      <c r="R12" s="252"/>
      <c r="S12" s="252"/>
      <c r="T12" s="252"/>
      <c r="U12" s="252"/>
    </row>
    <row r="13" spans="2:12" ht="19.5" customHeight="1">
      <c r="B13" s="234" t="s">
        <v>638</v>
      </c>
      <c r="C13" s="235" t="s">
        <v>101</v>
      </c>
      <c r="D13" s="236">
        <v>10028.48</v>
      </c>
      <c r="E13" s="236">
        <v>2194765.33</v>
      </c>
      <c r="F13" s="236">
        <v>2200713.25</v>
      </c>
      <c r="G13" s="236">
        <v>4080.56</v>
      </c>
      <c r="I13" s="320">
        <f t="shared" si="1"/>
        <v>10.02848</v>
      </c>
      <c r="J13" s="320">
        <f t="shared" si="2"/>
        <v>2194.76533</v>
      </c>
      <c r="K13" s="320">
        <f t="shared" si="3"/>
        <v>2200.71325</v>
      </c>
      <c r="L13" s="320">
        <f t="shared" si="4"/>
        <v>4.08056</v>
      </c>
    </row>
    <row r="14" spans="2:21" s="228" customFormat="1" ht="19.5" customHeight="1">
      <c r="B14" s="233" t="s">
        <v>639</v>
      </c>
      <c r="C14" s="230" t="s">
        <v>102</v>
      </c>
      <c r="D14" s="231">
        <v>165471.04</v>
      </c>
      <c r="E14" s="231">
        <v>127189951.87</v>
      </c>
      <c r="F14" s="231">
        <v>127128385.21</v>
      </c>
      <c r="G14" s="231">
        <v>227037.7</v>
      </c>
      <c r="H14" s="232"/>
      <c r="I14" s="320">
        <f t="shared" si="1"/>
        <v>165.47104000000002</v>
      </c>
      <c r="J14" s="320">
        <f t="shared" si="2"/>
        <v>127189.95187</v>
      </c>
      <c r="K14" s="320">
        <f t="shared" si="3"/>
        <v>127128.38521</v>
      </c>
      <c r="L14" s="320">
        <f t="shared" si="4"/>
        <v>227.0377</v>
      </c>
      <c r="O14" s="252"/>
      <c r="P14" s="252"/>
      <c r="Q14" s="252"/>
      <c r="R14" s="252"/>
      <c r="S14" s="252"/>
      <c r="T14" s="252"/>
      <c r="U14" s="252"/>
    </row>
    <row r="15" spans="2:21" s="228" customFormat="1" ht="19.5" customHeight="1">
      <c r="B15" s="233" t="s">
        <v>640</v>
      </c>
      <c r="C15" s="230" t="s">
        <v>103</v>
      </c>
      <c r="D15" s="231">
        <v>55497.67</v>
      </c>
      <c r="E15" s="231">
        <v>52252729.45</v>
      </c>
      <c r="F15" s="231">
        <v>52107569.67</v>
      </c>
      <c r="G15" s="231">
        <v>200657.45</v>
      </c>
      <c r="H15" s="232"/>
      <c r="I15" s="320">
        <f t="shared" si="1"/>
        <v>55.49767</v>
      </c>
      <c r="J15" s="320">
        <f t="shared" si="2"/>
        <v>52252.729450000006</v>
      </c>
      <c r="K15" s="320">
        <f t="shared" si="3"/>
        <v>52107.569670000004</v>
      </c>
      <c r="L15" s="320">
        <f t="shared" si="4"/>
        <v>200.65745</v>
      </c>
      <c r="O15" s="252"/>
      <c r="P15" s="252"/>
      <c r="Q15" s="252"/>
      <c r="R15" s="252"/>
      <c r="S15" s="252"/>
      <c r="T15" s="252"/>
      <c r="U15" s="252"/>
    </row>
    <row r="16" spans="2:12" ht="19.5" customHeight="1">
      <c r="B16" s="234" t="s">
        <v>641</v>
      </c>
      <c r="C16" s="235" t="s">
        <v>104</v>
      </c>
      <c r="D16" s="236">
        <v>54735.67</v>
      </c>
      <c r="E16" s="236">
        <v>49637196.54</v>
      </c>
      <c r="F16" s="236">
        <v>49491422.89</v>
      </c>
      <c r="G16" s="236">
        <v>200509.32</v>
      </c>
      <c r="I16" s="320">
        <f t="shared" si="1"/>
        <v>54.73567</v>
      </c>
      <c r="J16" s="320">
        <f t="shared" si="2"/>
        <v>49637.19654</v>
      </c>
      <c r="K16" s="320">
        <f t="shared" si="3"/>
        <v>49491.42289</v>
      </c>
      <c r="L16" s="320">
        <f t="shared" si="4"/>
        <v>200.50932</v>
      </c>
    </row>
    <row r="17" spans="2:12" ht="19.5" customHeight="1">
      <c r="B17" s="234" t="s">
        <v>642</v>
      </c>
      <c r="C17" s="235" t="s">
        <v>332</v>
      </c>
      <c r="D17" s="236">
        <v>762</v>
      </c>
      <c r="E17" s="236">
        <v>693046.13</v>
      </c>
      <c r="F17" s="236">
        <v>693660</v>
      </c>
      <c r="G17" s="236">
        <v>148.13</v>
      </c>
      <c r="I17" s="320">
        <f t="shared" si="1"/>
        <v>0.762</v>
      </c>
      <c r="J17" s="320">
        <f t="shared" si="2"/>
        <v>693.04613</v>
      </c>
      <c r="K17" s="320">
        <f t="shared" si="3"/>
        <v>693.66</v>
      </c>
      <c r="L17" s="320">
        <f t="shared" si="4"/>
        <v>0.14812999999999998</v>
      </c>
    </row>
    <row r="18" spans="2:12" ht="19.5" customHeight="1">
      <c r="B18" s="234" t="s">
        <v>643</v>
      </c>
      <c r="C18" s="235" t="s">
        <v>333</v>
      </c>
      <c r="D18" s="236">
        <v>0</v>
      </c>
      <c r="E18" s="236">
        <v>1922486.78</v>
      </c>
      <c r="F18" s="236">
        <v>1922486.78</v>
      </c>
      <c r="G18" s="236">
        <v>0</v>
      </c>
      <c r="I18" s="320">
        <f t="shared" si="1"/>
        <v>0</v>
      </c>
      <c r="J18" s="320">
        <f t="shared" si="2"/>
        <v>1922.48678</v>
      </c>
      <c r="K18" s="320">
        <f t="shared" si="3"/>
        <v>1922.48678</v>
      </c>
      <c r="L18" s="320">
        <f t="shared" si="4"/>
        <v>0</v>
      </c>
    </row>
    <row r="19" spans="2:21" s="228" customFormat="1" ht="19.5" customHeight="1">
      <c r="B19" s="233" t="s">
        <v>644</v>
      </c>
      <c r="C19" s="230" t="s">
        <v>105</v>
      </c>
      <c r="D19" s="231">
        <v>10</v>
      </c>
      <c r="E19" s="231">
        <v>42293215.78</v>
      </c>
      <c r="F19" s="231">
        <v>42293215.78</v>
      </c>
      <c r="G19" s="231">
        <v>10</v>
      </c>
      <c r="H19" s="232"/>
      <c r="I19" s="320">
        <f t="shared" si="1"/>
        <v>0.01</v>
      </c>
      <c r="J19" s="320">
        <f t="shared" si="2"/>
        <v>42293.21578</v>
      </c>
      <c r="K19" s="320">
        <f t="shared" si="3"/>
        <v>42293.21578</v>
      </c>
      <c r="L19" s="320">
        <f t="shared" si="4"/>
        <v>0.01</v>
      </c>
      <c r="O19" s="252"/>
      <c r="P19" s="252"/>
      <c r="Q19" s="252"/>
      <c r="R19" s="252"/>
      <c r="S19" s="252"/>
      <c r="T19" s="252"/>
      <c r="U19" s="252"/>
    </row>
    <row r="20" spans="2:12" ht="19.5" customHeight="1">
      <c r="B20" s="234" t="s">
        <v>645</v>
      </c>
      <c r="C20" s="235" t="s">
        <v>106</v>
      </c>
      <c r="D20" s="236">
        <v>10</v>
      </c>
      <c r="E20" s="236">
        <v>42293215.78</v>
      </c>
      <c r="F20" s="236">
        <v>42293215.78</v>
      </c>
      <c r="G20" s="236">
        <v>10</v>
      </c>
      <c r="I20" s="320">
        <f t="shared" si="1"/>
        <v>0.01</v>
      </c>
      <c r="J20" s="320">
        <f t="shared" si="2"/>
        <v>42293.21578</v>
      </c>
      <c r="K20" s="320">
        <f t="shared" si="3"/>
        <v>42293.21578</v>
      </c>
      <c r="L20" s="320">
        <f t="shared" si="4"/>
        <v>0.01</v>
      </c>
    </row>
    <row r="21" spans="2:21" s="228" customFormat="1" ht="19.5" customHeight="1">
      <c r="B21" s="233" t="s">
        <v>646</v>
      </c>
      <c r="C21" s="230" t="s">
        <v>107</v>
      </c>
      <c r="D21" s="231">
        <v>109889.07</v>
      </c>
      <c r="E21" s="231">
        <v>3310564.15</v>
      </c>
      <c r="F21" s="231">
        <v>3394097.65</v>
      </c>
      <c r="G21" s="231">
        <v>26355.57</v>
      </c>
      <c r="H21" s="232"/>
      <c r="I21" s="320">
        <f t="shared" si="1"/>
        <v>109.88907</v>
      </c>
      <c r="J21" s="320">
        <f t="shared" si="2"/>
        <v>3310.5641499999997</v>
      </c>
      <c r="K21" s="320">
        <f t="shared" si="3"/>
        <v>3394.0976499999997</v>
      </c>
      <c r="L21" s="320">
        <f t="shared" si="4"/>
        <v>26.35557</v>
      </c>
      <c r="O21" s="252"/>
      <c r="P21" s="252"/>
      <c r="Q21" s="252"/>
      <c r="R21" s="252"/>
      <c r="S21" s="252"/>
      <c r="T21" s="252"/>
      <c r="U21" s="252"/>
    </row>
    <row r="22" spans="2:12" ht="19.5" customHeight="1">
      <c r="B22" s="234" t="s">
        <v>647</v>
      </c>
      <c r="C22" s="235" t="s">
        <v>108</v>
      </c>
      <c r="D22" s="236">
        <v>109889.07</v>
      </c>
      <c r="E22" s="236">
        <v>3270563.45</v>
      </c>
      <c r="F22" s="236">
        <v>3354096.95</v>
      </c>
      <c r="G22" s="236">
        <v>26355.57</v>
      </c>
      <c r="I22" s="320">
        <f t="shared" si="1"/>
        <v>109.88907</v>
      </c>
      <c r="J22" s="320">
        <f t="shared" si="2"/>
        <v>3270.56345</v>
      </c>
      <c r="K22" s="320">
        <f t="shared" si="3"/>
        <v>3354.09695</v>
      </c>
      <c r="L22" s="320">
        <f t="shared" si="4"/>
        <v>26.35557</v>
      </c>
    </row>
    <row r="23" spans="2:12" ht="19.5" customHeight="1">
      <c r="B23" s="234" t="s">
        <v>648</v>
      </c>
      <c r="C23" s="235" t="s">
        <v>334</v>
      </c>
      <c r="D23" s="236">
        <v>0</v>
      </c>
      <c r="E23" s="236">
        <v>40000.7</v>
      </c>
      <c r="F23" s="236">
        <v>40000.7</v>
      </c>
      <c r="G23" s="236">
        <v>0</v>
      </c>
      <c r="I23" s="320">
        <f t="shared" si="1"/>
        <v>0</v>
      </c>
      <c r="J23" s="320">
        <f t="shared" si="2"/>
        <v>40.000699999999995</v>
      </c>
      <c r="K23" s="320">
        <f t="shared" si="3"/>
        <v>40.000699999999995</v>
      </c>
      <c r="L23" s="320">
        <f t="shared" si="4"/>
        <v>0</v>
      </c>
    </row>
    <row r="24" spans="2:21" s="228" customFormat="1" ht="19.5" customHeight="1">
      <c r="B24" s="233" t="s">
        <v>649</v>
      </c>
      <c r="C24" s="230" t="s">
        <v>109</v>
      </c>
      <c r="D24" s="231">
        <v>74.3</v>
      </c>
      <c r="E24" s="231">
        <v>29333442.49</v>
      </c>
      <c r="F24" s="231">
        <v>29333502.11</v>
      </c>
      <c r="G24" s="231">
        <v>14.68</v>
      </c>
      <c r="H24" s="232"/>
      <c r="I24" s="320">
        <f t="shared" si="1"/>
        <v>0.07429999999999999</v>
      </c>
      <c r="J24" s="320">
        <f t="shared" si="2"/>
        <v>29333.442489999998</v>
      </c>
      <c r="K24" s="320">
        <f t="shared" si="3"/>
        <v>29333.502109999998</v>
      </c>
      <c r="L24" s="320">
        <f t="shared" si="4"/>
        <v>0.01468</v>
      </c>
      <c r="O24" s="252"/>
      <c r="P24" s="252"/>
      <c r="Q24" s="252"/>
      <c r="R24" s="252"/>
      <c r="S24" s="252"/>
      <c r="T24" s="252"/>
      <c r="U24" s="252"/>
    </row>
    <row r="25" spans="2:12" ht="19.5" customHeight="1">
      <c r="B25" s="234" t="s">
        <v>650</v>
      </c>
      <c r="C25" s="235" t="s">
        <v>110</v>
      </c>
      <c r="D25" s="236">
        <v>74.3</v>
      </c>
      <c r="E25" s="236">
        <v>5060325.45</v>
      </c>
      <c r="F25" s="236">
        <v>5060385.07</v>
      </c>
      <c r="G25" s="236">
        <v>14.68</v>
      </c>
      <c r="I25" s="320">
        <f t="shared" si="1"/>
        <v>0.07429999999999999</v>
      </c>
      <c r="J25" s="320">
        <f t="shared" si="2"/>
        <v>5060.32545</v>
      </c>
      <c r="K25" s="320">
        <f t="shared" si="3"/>
        <v>5060.38507</v>
      </c>
      <c r="L25" s="320">
        <f t="shared" si="4"/>
        <v>0.01468</v>
      </c>
    </row>
    <row r="26" spans="2:12" ht="19.5" customHeight="1">
      <c r="B26" s="234" t="s">
        <v>651</v>
      </c>
      <c r="C26" s="235" t="s">
        <v>111</v>
      </c>
      <c r="D26" s="236">
        <v>0</v>
      </c>
      <c r="E26" s="236">
        <v>24273117.04</v>
      </c>
      <c r="F26" s="236">
        <v>24273117.04</v>
      </c>
      <c r="G26" s="236">
        <v>0</v>
      </c>
      <c r="I26" s="320">
        <f t="shared" si="1"/>
        <v>0</v>
      </c>
      <c r="J26" s="320">
        <f t="shared" si="2"/>
        <v>24273.117039999997</v>
      </c>
      <c r="K26" s="320">
        <f t="shared" si="3"/>
        <v>24273.117039999997</v>
      </c>
      <c r="L26" s="320">
        <f t="shared" si="4"/>
        <v>0</v>
      </c>
    </row>
    <row r="27" spans="2:21" s="228" customFormat="1" ht="19.5" customHeight="1">
      <c r="B27" s="233" t="s">
        <v>652</v>
      </c>
      <c r="C27" s="230" t="s">
        <v>112</v>
      </c>
      <c r="D27" s="231">
        <v>9767347.76</v>
      </c>
      <c r="E27" s="231">
        <v>52557531.24</v>
      </c>
      <c r="F27" s="231">
        <v>47385590.26</v>
      </c>
      <c r="G27" s="231">
        <v>14939288.74</v>
      </c>
      <c r="H27" s="232"/>
      <c r="I27" s="320">
        <f t="shared" si="1"/>
        <v>9767.34776</v>
      </c>
      <c r="J27" s="320">
        <f t="shared" si="2"/>
        <v>52557.531240000004</v>
      </c>
      <c r="K27" s="320">
        <f t="shared" si="3"/>
        <v>47385.59026</v>
      </c>
      <c r="L27" s="320">
        <f t="shared" si="4"/>
        <v>14939.28874</v>
      </c>
      <c r="O27" s="252"/>
      <c r="P27" s="252"/>
      <c r="Q27" s="252"/>
      <c r="R27" s="252"/>
      <c r="S27" s="252"/>
      <c r="T27" s="252"/>
      <c r="U27" s="252"/>
    </row>
    <row r="28" spans="2:21" s="228" customFormat="1" ht="19.5" customHeight="1">
      <c r="B28" s="233" t="s">
        <v>653</v>
      </c>
      <c r="C28" s="230" t="s">
        <v>113</v>
      </c>
      <c r="D28" s="231">
        <v>752000</v>
      </c>
      <c r="E28" s="231">
        <v>18601351.82</v>
      </c>
      <c r="F28" s="231">
        <v>16441806.21</v>
      </c>
      <c r="G28" s="231">
        <v>2911545.61</v>
      </c>
      <c r="H28" s="232"/>
      <c r="I28" s="320">
        <f t="shared" si="1"/>
        <v>752</v>
      </c>
      <c r="J28" s="320">
        <f t="shared" si="2"/>
        <v>18601.35182</v>
      </c>
      <c r="K28" s="320">
        <f t="shared" si="3"/>
        <v>16441.806210000002</v>
      </c>
      <c r="L28" s="320">
        <f t="shared" si="4"/>
        <v>2911.5456099999997</v>
      </c>
      <c r="O28" s="252"/>
      <c r="P28" s="252"/>
      <c r="Q28" s="252"/>
      <c r="R28" s="252"/>
      <c r="S28" s="252"/>
      <c r="T28" s="252"/>
      <c r="U28" s="252"/>
    </row>
    <row r="29" spans="2:12" ht="19.5" customHeight="1">
      <c r="B29" s="234" t="s">
        <v>654</v>
      </c>
      <c r="C29" s="235" t="s">
        <v>114</v>
      </c>
      <c r="D29" s="236">
        <v>752000</v>
      </c>
      <c r="E29" s="236">
        <v>17635806.21</v>
      </c>
      <c r="F29" s="236">
        <v>16441806.21</v>
      </c>
      <c r="G29" s="236">
        <v>1946000</v>
      </c>
      <c r="I29" s="320">
        <f t="shared" si="1"/>
        <v>752</v>
      </c>
      <c r="J29" s="320">
        <f t="shared" si="2"/>
        <v>17635.806210000002</v>
      </c>
      <c r="K29" s="320">
        <f t="shared" si="3"/>
        <v>16441.806210000002</v>
      </c>
      <c r="L29" s="320">
        <f t="shared" si="4"/>
        <v>1946</v>
      </c>
    </row>
    <row r="30" spans="2:12" ht="19.5" customHeight="1">
      <c r="B30" s="234" t="s">
        <v>655</v>
      </c>
      <c r="C30" s="235" t="s">
        <v>333</v>
      </c>
      <c r="D30" s="236">
        <v>0</v>
      </c>
      <c r="E30" s="236">
        <v>965545.61</v>
      </c>
      <c r="F30" s="236"/>
      <c r="G30" s="236">
        <v>965545.61</v>
      </c>
      <c r="I30" s="320">
        <f t="shared" si="1"/>
        <v>0</v>
      </c>
      <c r="J30" s="320">
        <f t="shared" si="2"/>
        <v>965.54561</v>
      </c>
      <c r="K30" s="320">
        <f t="shared" si="3"/>
        <v>0</v>
      </c>
      <c r="L30" s="320">
        <f t="shared" si="4"/>
        <v>965.54561</v>
      </c>
    </row>
    <row r="31" spans="2:21" s="228" customFormat="1" ht="19.5" customHeight="1">
      <c r="B31" s="233" t="s">
        <v>656</v>
      </c>
      <c r="C31" s="230" t="s">
        <v>115</v>
      </c>
      <c r="D31" s="231">
        <v>4580271.78</v>
      </c>
      <c r="E31" s="231">
        <v>21657975.46</v>
      </c>
      <c r="F31" s="231">
        <v>19981899.58</v>
      </c>
      <c r="G31" s="231">
        <v>6256347.66</v>
      </c>
      <c r="H31" s="232"/>
      <c r="I31" s="320">
        <f t="shared" si="1"/>
        <v>4580.27178</v>
      </c>
      <c r="J31" s="320">
        <f t="shared" si="2"/>
        <v>21657.97546</v>
      </c>
      <c r="K31" s="320">
        <f t="shared" si="3"/>
        <v>19981.899579999998</v>
      </c>
      <c r="L31" s="320">
        <f t="shared" si="4"/>
        <v>6256.34766</v>
      </c>
      <c r="O31" s="252"/>
      <c r="P31" s="252"/>
      <c r="Q31" s="252"/>
      <c r="R31" s="252"/>
      <c r="S31" s="252"/>
      <c r="T31" s="252"/>
      <c r="U31" s="252"/>
    </row>
    <row r="32" spans="2:12" ht="19.5" customHeight="1">
      <c r="B32" s="234" t="s">
        <v>657</v>
      </c>
      <c r="C32" s="235" t="s">
        <v>116</v>
      </c>
      <c r="D32" s="236">
        <v>4340657.62</v>
      </c>
      <c r="E32" s="236">
        <v>3553996.13</v>
      </c>
      <c r="F32" s="236">
        <v>1955747.52</v>
      </c>
      <c r="G32" s="236">
        <v>5938906.23</v>
      </c>
      <c r="I32" s="320">
        <f t="shared" si="1"/>
        <v>4340.65762</v>
      </c>
      <c r="J32" s="320">
        <f t="shared" si="2"/>
        <v>3553.99613</v>
      </c>
      <c r="K32" s="320">
        <f t="shared" si="3"/>
        <v>1955.7475200000001</v>
      </c>
      <c r="L32" s="320">
        <f t="shared" si="4"/>
        <v>5938.9062300000005</v>
      </c>
    </row>
    <row r="33" spans="2:12" ht="19.5" customHeight="1">
      <c r="B33" s="234" t="s">
        <v>658</v>
      </c>
      <c r="C33" s="235" t="s">
        <v>117</v>
      </c>
      <c r="D33" s="236">
        <v>239614.16</v>
      </c>
      <c r="E33" s="236">
        <v>18103979.33</v>
      </c>
      <c r="F33" s="236">
        <v>18026152.06</v>
      </c>
      <c r="G33" s="236">
        <v>317441.43</v>
      </c>
      <c r="I33" s="320">
        <f t="shared" si="1"/>
        <v>239.61416</v>
      </c>
      <c r="J33" s="320">
        <f t="shared" si="2"/>
        <v>18103.97933</v>
      </c>
      <c r="K33" s="320">
        <f t="shared" si="3"/>
        <v>18026.15206</v>
      </c>
      <c r="L33" s="320">
        <f t="shared" si="4"/>
        <v>317.44142999999997</v>
      </c>
    </row>
    <row r="34" spans="2:21" s="228" customFormat="1" ht="19.5" customHeight="1">
      <c r="B34" s="233" t="s">
        <v>659</v>
      </c>
      <c r="C34" s="230" t="s">
        <v>118</v>
      </c>
      <c r="D34" s="231">
        <v>1201495.97</v>
      </c>
      <c r="E34" s="231">
        <v>65813.53</v>
      </c>
      <c r="F34" s="236"/>
      <c r="G34" s="231">
        <v>1267309.5</v>
      </c>
      <c r="H34" s="232"/>
      <c r="I34" s="320">
        <f t="shared" si="1"/>
        <v>1201.49597</v>
      </c>
      <c r="J34" s="320">
        <f t="shared" si="2"/>
        <v>65.81353</v>
      </c>
      <c r="K34" s="320">
        <f t="shared" si="3"/>
        <v>0</v>
      </c>
      <c r="L34" s="320">
        <f t="shared" si="4"/>
        <v>1267.3095</v>
      </c>
      <c r="O34" s="252"/>
      <c r="P34" s="252"/>
      <c r="Q34" s="252"/>
      <c r="R34" s="252"/>
      <c r="S34" s="252"/>
      <c r="T34" s="252"/>
      <c r="U34" s="252"/>
    </row>
    <row r="35" spans="2:12" ht="19.5" customHeight="1">
      <c r="B35" s="234" t="s">
        <v>660</v>
      </c>
      <c r="C35" s="235" t="s">
        <v>119</v>
      </c>
      <c r="D35" s="236">
        <v>1201495.97</v>
      </c>
      <c r="E35" s="236">
        <v>65813.53</v>
      </c>
      <c r="F35" s="236"/>
      <c r="G35" s="236">
        <v>1267309.5</v>
      </c>
      <c r="I35" s="320">
        <f t="shared" si="1"/>
        <v>1201.49597</v>
      </c>
      <c r="J35" s="320">
        <f t="shared" si="2"/>
        <v>65.81353</v>
      </c>
      <c r="K35" s="320">
        <f t="shared" si="3"/>
        <v>0</v>
      </c>
      <c r="L35" s="320">
        <f t="shared" si="4"/>
        <v>1267.3095</v>
      </c>
    </row>
    <row r="36" spans="2:21" s="228" customFormat="1" ht="19.5" customHeight="1">
      <c r="B36" s="233" t="s">
        <v>661</v>
      </c>
      <c r="C36" s="230" t="s">
        <v>120</v>
      </c>
      <c r="D36" s="231">
        <v>3233580.01</v>
      </c>
      <c r="E36" s="231">
        <v>12232390.43</v>
      </c>
      <c r="F36" s="231">
        <v>10961884.47</v>
      </c>
      <c r="G36" s="231">
        <v>4504085.97</v>
      </c>
      <c r="H36" s="232"/>
      <c r="I36" s="320">
        <f t="shared" si="1"/>
        <v>3233.5800099999997</v>
      </c>
      <c r="J36" s="320">
        <f t="shared" si="2"/>
        <v>12232.39043</v>
      </c>
      <c r="K36" s="320">
        <f t="shared" si="3"/>
        <v>10961.88447</v>
      </c>
      <c r="L36" s="320">
        <f t="shared" si="4"/>
        <v>4504.08597</v>
      </c>
      <c r="O36" s="252"/>
      <c r="P36" s="252"/>
      <c r="Q36" s="252"/>
      <c r="R36" s="252"/>
      <c r="S36" s="252"/>
      <c r="T36" s="252"/>
      <c r="U36" s="252"/>
    </row>
    <row r="37" spans="2:12" ht="19.5" customHeight="1">
      <c r="B37" s="234" t="s">
        <v>662</v>
      </c>
      <c r="C37" s="235" t="s">
        <v>121</v>
      </c>
      <c r="D37" s="236">
        <v>3012095.05</v>
      </c>
      <c r="E37" s="236">
        <v>3341471.93</v>
      </c>
      <c r="F37" s="236">
        <v>1987561.84</v>
      </c>
      <c r="G37" s="236">
        <v>4366005.14</v>
      </c>
      <c r="I37" s="320">
        <f t="shared" si="1"/>
        <v>3012.09505</v>
      </c>
      <c r="J37" s="320">
        <f t="shared" si="2"/>
        <v>3341.47193</v>
      </c>
      <c r="K37" s="320">
        <f t="shared" si="3"/>
        <v>1987.56184</v>
      </c>
      <c r="L37" s="320">
        <f t="shared" si="4"/>
        <v>4366.005139999999</v>
      </c>
    </row>
    <row r="38" spans="2:12" ht="19.5" customHeight="1">
      <c r="B38" s="234" t="s">
        <v>663</v>
      </c>
      <c r="C38" s="235" t="s">
        <v>122</v>
      </c>
      <c r="D38" s="236">
        <v>41209.33</v>
      </c>
      <c r="E38" s="236">
        <v>987.1</v>
      </c>
      <c r="F38" s="236">
        <v>42196.43</v>
      </c>
      <c r="G38" s="236">
        <v>0</v>
      </c>
      <c r="I38" s="320">
        <f t="shared" si="1"/>
        <v>41.20933</v>
      </c>
      <c r="J38" s="320">
        <f t="shared" si="2"/>
        <v>0.9871</v>
      </c>
      <c r="K38" s="320">
        <f t="shared" si="3"/>
        <v>42.19643</v>
      </c>
      <c r="L38" s="320">
        <f t="shared" si="4"/>
        <v>0</v>
      </c>
    </row>
    <row r="39" spans="2:12" ht="19.5" customHeight="1">
      <c r="B39" s="234" t="s">
        <v>664</v>
      </c>
      <c r="C39" s="235" t="s">
        <v>123</v>
      </c>
      <c r="D39" s="236">
        <v>180275.63</v>
      </c>
      <c r="E39" s="236">
        <v>8889931.4</v>
      </c>
      <c r="F39" s="236">
        <v>8932126.2</v>
      </c>
      <c r="G39" s="236">
        <v>138080.83</v>
      </c>
      <c r="I39" s="320">
        <f t="shared" si="1"/>
        <v>180.27563</v>
      </c>
      <c r="J39" s="320">
        <f t="shared" si="2"/>
        <v>8889.9314</v>
      </c>
      <c r="K39" s="320">
        <f t="shared" si="3"/>
        <v>8932.126199999999</v>
      </c>
      <c r="L39" s="320">
        <f t="shared" si="4"/>
        <v>138.08083</v>
      </c>
    </row>
    <row r="40" spans="2:21" s="228" customFormat="1" ht="19.5" customHeight="1">
      <c r="B40" s="233" t="s">
        <v>665</v>
      </c>
      <c r="C40" s="230" t="s">
        <v>124</v>
      </c>
      <c r="D40" s="231">
        <v>4079898.28</v>
      </c>
      <c r="E40" s="231">
        <v>61648596.99</v>
      </c>
      <c r="F40" s="231">
        <v>61797843.6</v>
      </c>
      <c r="G40" s="231">
        <v>3930651.67</v>
      </c>
      <c r="H40" s="232"/>
      <c r="I40" s="321">
        <f t="shared" si="1"/>
        <v>4079.89828</v>
      </c>
      <c r="J40" s="320">
        <f t="shared" si="2"/>
        <v>61648.596990000005</v>
      </c>
      <c r="K40" s="320">
        <f t="shared" si="3"/>
        <v>61797.8436</v>
      </c>
      <c r="L40" s="321">
        <f t="shared" si="4"/>
        <v>3930.6516699999997</v>
      </c>
      <c r="O40" s="252"/>
      <c r="P40" s="252"/>
      <c r="Q40" s="252"/>
      <c r="R40" s="252"/>
      <c r="S40" s="252"/>
      <c r="T40" s="252"/>
      <c r="U40" s="252"/>
    </row>
    <row r="41" spans="2:21" s="228" customFormat="1" ht="19.5" customHeight="1">
      <c r="B41" s="233" t="s">
        <v>666</v>
      </c>
      <c r="C41" s="230" t="s">
        <v>125</v>
      </c>
      <c r="D41" s="231">
        <v>3683560.34</v>
      </c>
      <c r="E41" s="231">
        <v>54643459.08</v>
      </c>
      <c r="F41" s="231">
        <v>54749067.76</v>
      </c>
      <c r="G41" s="231">
        <v>3577951.66</v>
      </c>
      <c r="H41" s="232"/>
      <c r="I41" s="320">
        <f t="shared" si="1"/>
        <v>3683.56034</v>
      </c>
      <c r="J41" s="320">
        <f t="shared" si="2"/>
        <v>54643.45908</v>
      </c>
      <c r="K41" s="320">
        <f t="shared" si="3"/>
        <v>54749.06776</v>
      </c>
      <c r="L41" s="320">
        <f t="shared" si="4"/>
        <v>3577.95166</v>
      </c>
      <c r="O41" s="252"/>
      <c r="P41" s="252"/>
      <c r="Q41" s="252"/>
      <c r="R41" s="252"/>
      <c r="S41" s="252"/>
      <c r="T41" s="252"/>
      <c r="U41" s="252"/>
    </row>
    <row r="42" spans="2:21" s="228" customFormat="1" ht="19.5" customHeight="1">
      <c r="B42" s="233" t="s">
        <v>667</v>
      </c>
      <c r="C42" s="230" t="s">
        <v>126</v>
      </c>
      <c r="D42" s="231">
        <v>3683560.34</v>
      </c>
      <c r="E42" s="231">
        <v>54643459.08</v>
      </c>
      <c r="F42" s="231">
        <v>54749067.76</v>
      </c>
      <c r="G42" s="231">
        <v>3577951.66</v>
      </c>
      <c r="H42" s="232"/>
      <c r="I42" s="320">
        <f t="shared" si="1"/>
        <v>3683.56034</v>
      </c>
      <c r="J42" s="320">
        <f t="shared" si="2"/>
        <v>54643.45908</v>
      </c>
      <c r="K42" s="320">
        <f t="shared" si="3"/>
        <v>54749.06776</v>
      </c>
      <c r="L42" s="320">
        <f t="shared" si="4"/>
        <v>3577.95166</v>
      </c>
      <c r="O42" s="252"/>
      <c r="P42" s="252"/>
      <c r="Q42" s="252"/>
      <c r="R42" s="252"/>
      <c r="S42" s="252"/>
      <c r="T42" s="252"/>
      <c r="U42" s="252"/>
    </row>
    <row r="43" spans="2:12" ht="19.5" customHeight="1">
      <c r="B43" s="234" t="s">
        <v>668</v>
      </c>
      <c r="C43" s="235" t="s">
        <v>127</v>
      </c>
      <c r="D43" s="236">
        <v>3217572.81</v>
      </c>
      <c r="E43" s="236">
        <v>50835553.24</v>
      </c>
      <c r="F43" s="236">
        <v>50833408.93</v>
      </c>
      <c r="G43" s="236">
        <v>3219717.12</v>
      </c>
      <c r="I43" s="320">
        <f t="shared" si="1"/>
        <v>3217.57281</v>
      </c>
      <c r="J43" s="320">
        <f t="shared" si="2"/>
        <v>50835.55324</v>
      </c>
      <c r="K43" s="320">
        <f t="shared" si="3"/>
        <v>50833.40893</v>
      </c>
      <c r="L43" s="320">
        <f t="shared" si="4"/>
        <v>3219.7171200000003</v>
      </c>
    </row>
    <row r="44" spans="2:12" ht="19.5" customHeight="1">
      <c r="B44" s="234" t="s">
        <v>669</v>
      </c>
      <c r="C44" s="235" t="s">
        <v>128</v>
      </c>
      <c r="D44" s="236">
        <v>0</v>
      </c>
      <c r="E44" s="236">
        <v>5700.98</v>
      </c>
      <c r="F44" s="236">
        <v>5700.98</v>
      </c>
      <c r="G44" s="236">
        <v>0</v>
      </c>
      <c r="I44" s="320">
        <f t="shared" si="1"/>
        <v>0</v>
      </c>
      <c r="J44" s="320">
        <f t="shared" si="2"/>
        <v>5.7009799999999995</v>
      </c>
      <c r="K44" s="320">
        <f t="shared" si="3"/>
        <v>5.7009799999999995</v>
      </c>
      <c r="L44" s="320">
        <f t="shared" si="4"/>
        <v>0</v>
      </c>
    </row>
    <row r="45" spans="2:12" ht="19.5" customHeight="1">
      <c r="B45" s="234" t="s">
        <v>670</v>
      </c>
      <c r="C45" s="235" t="s">
        <v>129</v>
      </c>
      <c r="D45" s="236">
        <v>-69404.54</v>
      </c>
      <c r="E45" s="236">
        <v>34270.02</v>
      </c>
      <c r="F45" s="236"/>
      <c r="G45" s="236">
        <v>-35134.52</v>
      </c>
      <c r="I45" s="320">
        <f t="shared" si="1"/>
        <v>-69.40454</v>
      </c>
      <c r="J45" s="320">
        <f t="shared" si="2"/>
        <v>34.270019999999995</v>
      </c>
      <c r="K45" s="320">
        <f t="shared" si="3"/>
        <v>0</v>
      </c>
      <c r="L45" s="320">
        <f t="shared" si="4"/>
        <v>-35.134519999999995</v>
      </c>
    </row>
    <row r="46" spans="2:12" ht="19.5" customHeight="1">
      <c r="B46" s="234" t="s">
        <v>671</v>
      </c>
      <c r="C46" s="235" t="s">
        <v>130</v>
      </c>
      <c r="D46" s="236">
        <v>-16910.37</v>
      </c>
      <c r="E46" s="236">
        <v>16910.37</v>
      </c>
      <c r="F46" s="236"/>
      <c r="G46" s="236">
        <v>0</v>
      </c>
      <c r="I46" s="320">
        <f t="shared" si="1"/>
        <v>-16.91037</v>
      </c>
      <c r="J46" s="320">
        <f t="shared" si="2"/>
        <v>16.91037</v>
      </c>
      <c r="K46" s="320">
        <f t="shared" si="3"/>
        <v>0</v>
      </c>
      <c r="L46" s="320">
        <f t="shared" si="4"/>
        <v>0</v>
      </c>
    </row>
    <row r="47" spans="2:12" ht="19.5" customHeight="1">
      <c r="B47" s="234" t="s">
        <v>672</v>
      </c>
      <c r="C47" s="235" t="s">
        <v>335</v>
      </c>
      <c r="D47" s="236">
        <v>552302.44</v>
      </c>
      <c r="E47" s="236">
        <v>3751024.47</v>
      </c>
      <c r="F47" s="236">
        <v>3909957.85</v>
      </c>
      <c r="G47" s="236">
        <v>393369.06</v>
      </c>
      <c r="I47" s="320">
        <f t="shared" si="1"/>
        <v>552.3024399999999</v>
      </c>
      <c r="J47" s="320">
        <f t="shared" si="2"/>
        <v>3751.0244700000003</v>
      </c>
      <c r="K47" s="320">
        <f t="shared" si="3"/>
        <v>3909.9578500000002</v>
      </c>
      <c r="L47" s="320">
        <f t="shared" si="4"/>
        <v>393.36906</v>
      </c>
    </row>
    <row r="48" spans="2:21" s="228" customFormat="1" ht="19.5" customHeight="1">
      <c r="B48" s="253" t="s">
        <v>673</v>
      </c>
      <c r="C48" s="254" t="s">
        <v>131</v>
      </c>
      <c r="D48" s="255">
        <v>396337.94</v>
      </c>
      <c r="E48" s="255">
        <v>7005137.91</v>
      </c>
      <c r="F48" s="255">
        <v>7048775.84</v>
      </c>
      <c r="G48" s="255">
        <v>352700.01</v>
      </c>
      <c r="H48" s="256"/>
      <c r="I48" s="321">
        <f t="shared" si="1"/>
        <v>396.33794</v>
      </c>
      <c r="J48" s="321">
        <f t="shared" si="2"/>
        <v>7005.13791</v>
      </c>
      <c r="K48" s="321">
        <f t="shared" si="3"/>
        <v>7048.77584</v>
      </c>
      <c r="L48" s="321">
        <f t="shared" si="4"/>
        <v>352.70001</v>
      </c>
      <c r="O48" s="252">
        <f>L48-I48</f>
        <v>-43.63792999999998</v>
      </c>
      <c r="P48" s="252"/>
      <c r="Q48" s="252"/>
      <c r="R48" s="252"/>
      <c r="S48" s="252"/>
      <c r="T48" s="252"/>
      <c r="U48" s="252"/>
    </row>
    <row r="49" spans="2:21" s="228" customFormat="1" ht="19.5" customHeight="1">
      <c r="B49" s="253" t="s">
        <v>674</v>
      </c>
      <c r="C49" s="254" t="s">
        <v>132</v>
      </c>
      <c r="D49" s="255">
        <v>125413.74</v>
      </c>
      <c r="E49" s="255">
        <v>1105678.49</v>
      </c>
      <c r="F49" s="255">
        <v>1118482.16</v>
      </c>
      <c r="G49" s="255">
        <v>112610.07</v>
      </c>
      <c r="H49" s="256"/>
      <c r="I49" s="321">
        <f t="shared" si="1"/>
        <v>125.41374</v>
      </c>
      <c r="J49" s="321">
        <f t="shared" si="2"/>
        <v>1105.67849</v>
      </c>
      <c r="K49" s="321">
        <f t="shared" si="3"/>
        <v>1118.48216</v>
      </c>
      <c r="L49" s="321">
        <f t="shared" si="4"/>
        <v>112.61007000000001</v>
      </c>
      <c r="O49" s="252"/>
      <c r="P49" s="252"/>
      <c r="Q49" s="252"/>
      <c r="R49" s="252"/>
      <c r="S49" s="252"/>
      <c r="T49" s="252"/>
      <c r="U49" s="252"/>
    </row>
    <row r="50" spans="2:12" ht="19.5" customHeight="1">
      <c r="B50" s="271" t="s">
        <v>675</v>
      </c>
      <c r="C50" s="272" t="s">
        <v>133</v>
      </c>
      <c r="D50" s="257">
        <v>117281.51</v>
      </c>
      <c r="E50" s="257">
        <v>908620.83</v>
      </c>
      <c r="F50" s="257">
        <v>913292.27</v>
      </c>
      <c r="G50" s="257">
        <v>112610.07</v>
      </c>
      <c r="H50" s="273"/>
      <c r="I50" s="321">
        <f t="shared" si="1"/>
        <v>117.28151</v>
      </c>
      <c r="J50" s="321">
        <f t="shared" si="2"/>
        <v>908.62083</v>
      </c>
      <c r="K50" s="321">
        <f t="shared" si="3"/>
        <v>913.29227</v>
      </c>
      <c r="L50" s="321">
        <f t="shared" si="4"/>
        <v>112.61007000000001</v>
      </c>
    </row>
    <row r="51" spans="2:12" ht="19.5" customHeight="1">
      <c r="B51" s="271" t="s">
        <v>676</v>
      </c>
      <c r="C51" s="272" t="s">
        <v>134</v>
      </c>
      <c r="D51" s="257">
        <v>8132.23</v>
      </c>
      <c r="E51" s="257">
        <v>197057.66</v>
      </c>
      <c r="F51" s="257">
        <v>205189.89</v>
      </c>
      <c r="G51" s="257">
        <v>0</v>
      </c>
      <c r="H51" s="273"/>
      <c r="I51" s="321">
        <f t="shared" si="1"/>
        <v>8.13223</v>
      </c>
      <c r="J51" s="321">
        <f t="shared" si="2"/>
        <v>197.05766</v>
      </c>
      <c r="K51" s="321">
        <f t="shared" si="3"/>
        <v>205.18989000000002</v>
      </c>
      <c r="L51" s="321">
        <f t="shared" si="4"/>
        <v>0</v>
      </c>
    </row>
    <row r="52" spans="2:21" s="228" customFormat="1" ht="19.5" customHeight="1">
      <c r="B52" s="253" t="s">
        <v>677</v>
      </c>
      <c r="C52" s="254" t="s">
        <v>135</v>
      </c>
      <c r="D52" s="255">
        <v>239132.2</v>
      </c>
      <c r="E52" s="255">
        <v>5372978.5</v>
      </c>
      <c r="F52" s="255">
        <v>5443656.76</v>
      </c>
      <c r="G52" s="255">
        <v>168453.94</v>
      </c>
      <c r="H52" s="256"/>
      <c r="I52" s="321">
        <f t="shared" si="1"/>
        <v>239.1322</v>
      </c>
      <c r="J52" s="321">
        <f t="shared" si="2"/>
        <v>5372.9785</v>
      </c>
      <c r="K52" s="321">
        <f t="shared" si="3"/>
        <v>5443.65676</v>
      </c>
      <c r="L52" s="321">
        <f t="shared" si="4"/>
        <v>168.45394</v>
      </c>
      <c r="O52" s="252">
        <f>L52-I52</f>
        <v>-70.67826000000002</v>
      </c>
      <c r="P52" s="252"/>
      <c r="Q52" s="252"/>
      <c r="R52" s="252"/>
      <c r="S52" s="252"/>
      <c r="T52" s="252"/>
      <c r="U52" s="252"/>
    </row>
    <row r="53" spans="2:12" ht="19.5" customHeight="1">
      <c r="B53" s="271" t="s">
        <v>678</v>
      </c>
      <c r="C53" s="272" t="s">
        <v>136</v>
      </c>
      <c r="D53" s="257">
        <v>217338.78</v>
      </c>
      <c r="E53" s="257">
        <v>453764.35</v>
      </c>
      <c r="F53" s="257">
        <v>512655.49</v>
      </c>
      <c r="G53" s="257">
        <v>158447.64</v>
      </c>
      <c r="H53" s="273"/>
      <c r="I53" s="321">
        <f t="shared" si="1"/>
        <v>217.33877999999999</v>
      </c>
      <c r="J53" s="321">
        <f t="shared" si="2"/>
        <v>453.76435</v>
      </c>
      <c r="K53" s="321">
        <f t="shared" si="3"/>
        <v>512.65549</v>
      </c>
      <c r="L53" s="321">
        <f t="shared" si="4"/>
        <v>158.44764</v>
      </c>
    </row>
    <row r="54" spans="2:15" ht="19.5" customHeight="1">
      <c r="B54" s="271" t="s">
        <v>679</v>
      </c>
      <c r="C54" s="272" t="s">
        <v>137</v>
      </c>
      <c r="D54" s="257">
        <v>21793.42</v>
      </c>
      <c r="E54" s="257">
        <v>4919214.15</v>
      </c>
      <c r="F54" s="257">
        <v>4931001.27</v>
      </c>
      <c r="G54" s="257">
        <v>10006.3</v>
      </c>
      <c r="H54" s="273"/>
      <c r="I54" s="321">
        <f t="shared" si="1"/>
        <v>21.793419999999998</v>
      </c>
      <c r="J54" s="321">
        <f t="shared" si="2"/>
        <v>4919.214150000001</v>
      </c>
      <c r="K54" s="321">
        <f t="shared" si="3"/>
        <v>4931.00127</v>
      </c>
      <c r="L54" s="321">
        <f t="shared" si="4"/>
        <v>10.0063</v>
      </c>
      <c r="O54" s="250">
        <f>SUM(O48:O53)</f>
        <v>-114.31619</v>
      </c>
    </row>
    <row r="55" spans="2:21" s="228" customFormat="1" ht="19.5" customHeight="1">
      <c r="B55" s="233" t="s">
        <v>680</v>
      </c>
      <c r="C55" s="230" t="s">
        <v>138</v>
      </c>
      <c r="D55" s="231">
        <v>31792</v>
      </c>
      <c r="E55" s="231">
        <v>526480.92</v>
      </c>
      <c r="F55" s="231">
        <v>486636.92</v>
      </c>
      <c r="G55" s="231">
        <v>71636</v>
      </c>
      <c r="H55" s="232"/>
      <c r="I55" s="320">
        <f t="shared" si="1"/>
        <v>31.792</v>
      </c>
      <c r="J55" s="320">
        <f t="shared" si="2"/>
        <v>526.4809200000001</v>
      </c>
      <c r="K55" s="320">
        <f t="shared" si="3"/>
        <v>486.63692</v>
      </c>
      <c r="L55" s="320">
        <f t="shared" si="4"/>
        <v>71.636</v>
      </c>
      <c r="O55" s="252"/>
      <c r="P55" s="252"/>
      <c r="Q55" s="252"/>
      <c r="R55" s="252"/>
      <c r="S55" s="252"/>
      <c r="T55" s="252"/>
      <c r="U55" s="252"/>
    </row>
    <row r="56" spans="2:12" ht="19.5" customHeight="1">
      <c r="B56" s="234" t="s">
        <v>681</v>
      </c>
      <c r="C56" s="235" t="s">
        <v>139</v>
      </c>
      <c r="D56" s="236">
        <v>32492</v>
      </c>
      <c r="E56" s="236">
        <v>526480.92</v>
      </c>
      <c r="F56" s="236">
        <v>486636.92</v>
      </c>
      <c r="G56" s="236">
        <v>72336</v>
      </c>
      <c r="I56" s="320">
        <f t="shared" si="1"/>
        <v>32.492</v>
      </c>
      <c r="J56" s="320">
        <f t="shared" si="2"/>
        <v>526.4809200000001</v>
      </c>
      <c r="K56" s="320">
        <f t="shared" si="3"/>
        <v>486.63692</v>
      </c>
      <c r="L56" s="320">
        <f t="shared" si="4"/>
        <v>72.336</v>
      </c>
    </row>
    <row r="57" spans="2:12" ht="19.5" customHeight="1">
      <c r="B57" s="234" t="s">
        <v>682</v>
      </c>
      <c r="C57" s="235" t="s">
        <v>140</v>
      </c>
      <c r="D57" s="236">
        <v>-700</v>
      </c>
      <c r="E57" s="236"/>
      <c r="F57" s="236"/>
      <c r="G57" s="236">
        <v>-700</v>
      </c>
      <c r="I57" s="320">
        <f t="shared" si="1"/>
        <v>-0.7</v>
      </c>
      <c r="J57" s="320">
        <f t="shared" si="2"/>
        <v>0</v>
      </c>
      <c r="K57" s="320">
        <f t="shared" si="3"/>
        <v>0</v>
      </c>
      <c r="L57" s="320">
        <f t="shared" si="4"/>
        <v>-0.7</v>
      </c>
    </row>
    <row r="58" spans="2:21" s="228" customFormat="1" ht="19.5" customHeight="1">
      <c r="B58" s="233" t="s">
        <v>683</v>
      </c>
      <c r="C58" s="254" t="s">
        <v>141</v>
      </c>
      <c r="D58" s="231">
        <v>226149.19</v>
      </c>
      <c r="E58" s="231">
        <v>1879413.34</v>
      </c>
      <c r="F58" s="231">
        <v>1890678.74</v>
      </c>
      <c r="G58" s="231">
        <v>214883.79</v>
      </c>
      <c r="H58" s="232"/>
      <c r="I58" s="321">
        <f t="shared" si="1"/>
        <v>226.14919</v>
      </c>
      <c r="J58" s="320">
        <f t="shared" si="2"/>
        <v>1879.41334</v>
      </c>
      <c r="K58" s="320">
        <f t="shared" si="3"/>
        <v>1890.67874</v>
      </c>
      <c r="L58" s="321">
        <f t="shared" si="4"/>
        <v>214.88379</v>
      </c>
      <c r="O58" s="252"/>
      <c r="P58" s="252"/>
      <c r="Q58" s="252"/>
      <c r="R58" s="252"/>
      <c r="S58" s="252"/>
      <c r="T58" s="252"/>
      <c r="U58" s="252"/>
    </row>
    <row r="59" spans="2:21" s="228" customFormat="1" ht="19.5" customHeight="1">
      <c r="B59" s="233" t="s">
        <v>684</v>
      </c>
      <c r="C59" s="230" t="s">
        <v>142</v>
      </c>
      <c r="D59" s="231">
        <v>226149.19</v>
      </c>
      <c r="E59" s="231">
        <v>1879413.34</v>
      </c>
      <c r="F59" s="231">
        <v>1890678.74</v>
      </c>
      <c r="G59" s="231">
        <v>214883.79</v>
      </c>
      <c r="H59" s="232"/>
      <c r="I59" s="320">
        <f t="shared" si="1"/>
        <v>226.14919</v>
      </c>
      <c r="J59" s="320">
        <f t="shared" si="2"/>
        <v>1879.41334</v>
      </c>
      <c r="K59" s="320">
        <f t="shared" si="3"/>
        <v>1890.67874</v>
      </c>
      <c r="L59" s="320">
        <f t="shared" si="4"/>
        <v>214.88379</v>
      </c>
      <c r="O59" s="252"/>
      <c r="P59" s="252"/>
      <c r="Q59" s="252"/>
      <c r="R59" s="252"/>
      <c r="S59" s="252"/>
      <c r="T59" s="252"/>
      <c r="U59" s="252"/>
    </row>
    <row r="60" spans="2:21" s="228" customFormat="1" ht="19.5" customHeight="1">
      <c r="B60" s="233" t="s">
        <v>685</v>
      </c>
      <c r="C60" s="230" t="s">
        <v>143</v>
      </c>
      <c r="D60" s="231">
        <v>226149.19</v>
      </c>
      <c r="E60" s="231">
        <v>1857001</v>
      </c>
      <c r="F60" s="231">
        <v>1868266.4</v>
      </c>
      <c r="G60" s="231">
        <v>214883.79</v>
      </c>
      <c r="H60" s="232"/>
      <c r="I60" s="320">
        <f t="shared" si="1"/>
        <v>226.14919</v>
      </c>
      <c r="J60" s="320">
        <f t="shared" si="2"/>
        <v>1857.001</v>
      </c>
      <c r="K60" s="320">
        <f t="shared" si="3"/>
        <v>1868.2664</v>
      </c>
      <c r="L60" s="320">
        <f t="shared" si="4"/>
        <v>214.88379</v>
      </c>
      <c r="O60" s="252"/>
      <c r="P60" s="252"/>
      <c r="Q60" s="252"/>
      <c r="R60" s="252"/>
      <c r="S60" s="252"/>
      <c r="T60" s="252"/>
      <c r="U60" s="252"/>
    </row>
    <row r="61" spans="2:12" ht="19.5" customHeight="1">
      <c r="B61" s="234" t="s">
        <v>686</v>
      </c>
      <c r="C61" s="235" t="s">
        <v>144</v>
      </c>
      <c r="D61" s="236">
        <v>6125.2</v>
      </c>
      <c r="E61" s="236">
        <v>10561.47</v>
      </c>
      <c r="F61" s="236">
        <v>13119.14</v>
      </c>
      <c r="G61" s="236">
        <v>3567.53</v>
      </c>
      <c r="I61" s="320">
        <f t="shared" si="1"/>
        <v>6.1251999999999995</v>
      </c>
      <c r="J61" s="320">
        <f t="shared" si="2"/>
        <v>10.56147</v>
      </c>
      <c r="K61" s="320">
        <f t="shared" si="3"/>
        <v>13.11914</v>
      </c>
      <c r="L61" s="320">
        <f t="shared" si="4"/>
        <v>3.56753</v>
      </c>
    </row>
    <row r="62" spans="2:12" ht="19.5" customHeight="1">
      <c r="B62" s="234" t="s">
        <v>687</v>
      </c>
      <c r="C62" s="235" t="s">
        <v>145</v>
      </c>
      <c r="D62" s="236">
        <v>209143.91</v>
      </c>
      <c r="E62" s="236">
        <v>1282808.4</v>
      </c>
      <c r="F62" s="236">
        <v>1281821.88</v>
      </c>
      <c r="G62" s="236">
        <v>210130.43</v>
      </c>
      <c r="I62" s="320">
        <f t="shared" si="1"/>
        <v>209.14391</v>
      </c>
      <c r="J62" s="320">
        <f t="shared" si="2"/>
        <v>1282.8084</v>
      </c>
      <c r="K62" s="320">
        <f t="shared" si="3"/>
        <v>1281.82188</v>
      </c>
      <c r="L62" s="320">
        <f t="shared" si="4"/>
        <v>210.13043</v>
      </c>
    </row>
    <row r="63" spans="2:12" ht="19.5" customHeight="1">
      <c r="B63" s="234" t="s">
        <v>688</v>
      </c>
      <c r="C63" s="235" t="s">
        <v>146</v>
      </c>
      <c r="D63" s="236">
        <v>0</v>
      </c>
      <c r="E63" s="236">
        <v>528581.21</v>
      </c>
      <c r="F63" s="236">
        <v>528581.21</v>
      </c>
      <c r="G63" s="236">
        <v>0</v>
      </c>
      <c r="I63" s="320">
        <f t="shared" si="1"/>
        <v>0</v>
      </c>
      <c r="J63" s="320">
        <f t="shared" si="2"/>
        <v>528.5812099999999</v>
      </c>
      <c r="K63" s="320">
        <f t="shared" si="3"/>
        <v>528.5812099999999</v>
      </c>
      <c r="L63" s="320">
        <f t="shared" si="4"/>
        <v>0</v>
      </c>
    </row>
    <row r="64" spans="2:12" ht="19.5" customHeight="1">
      <c r="B64" s="234" t="s">
        <v>689</v>
      </c>
      <c r="C64" s="235" t="s">
        <v>336</v>
      </c>
      <c r="D64" s="236">
        <v>785.4</v>
      </c>
      <c r="E64" s="236">
        <v>32307.1</v>
      </c>
      <c r="F64" s="236">
        <v>31906.67</v>
      </c>
      <c r="G64" s="236">
        <v>1185.83</v>
      </c>
      <c r="I64" s="320">
        <f t="shared" si="1"/>
        <v>0.7854</v>
      </c>
      <c r="J64" s="320">
        <f t="shared" si="2"/>
        <v>32.3071</v>
      </c>
      <c r="K64" s="320">
        <f t="shared" si="3"/>
        <v>31.90667</v>
      </c>
      <c r="L64" s="320">
        <f t="shared" si="4"/>
        <v>1.18583</v>
      </c>
    </row>
    <row r="65" spans="2:12" ht="19.5" customHeight="1">
      <c r="B65" s="234" t="s">
        <v>690</v>
      </c>
      <c r="C65" s="235" t="s">
        <v>147</v>
      </c>
      <c r="D65" s="236">
        <v>0</v>
      </c>
      <c r="E65" s="236">
        <v>2742.82</v>
      </c>
      <c r="F65" s="236">
        <v>2742.82</v>
      </c>
      <c r="G65" s="236">
        <v>0</v>
      </c>
      <c r="I65" s="320">
        <f t="shared" si="1"/>
        <v>0</v>
      </c>
      <c r="J65" s="320">
        <f t="shared" si="2"/>
        <v>2.74282</v>
      </c>
      <c r="K65" s="320">
        <f t="shared" si="3"/>
        <v>2.74282</v>
      </c>
      <c r="L65" s="320">
        <f t="shared" si="4"/>
        <v>0</v>
      </c>
    </row>
    <row r="66" spans="2:12" ht="19.5" customHeight="1">
      <c r="B66" s="234" t="s">
        <v>691</v>
      </c>
      <c r="C66" s="235" t="s">
        <v>337</v>
      </c>
      <c r="D66" s="236">
        <v>10094.68</v>
      </c>
      <c r="E66" s="236"/>
      <c r="F66" s="236">
        <v>10094.68</v>
      </c>
      <c r="G66" s="236">
        <v>0</v>
      </c>
      <c r="I66" s="320">
        <f t="shared" si="1"/>
        <v>10.09468</v>
      </c>
      <c r="J66" s="320">
        <f t="shared" si="2"/>
        <v>0</v>
      </c>
      <c r="K66" s="320">
        <f t="shared" si="3"/>
        <v>10.09468</v>
      </c>
      <c r="L66" s="320">
        <f t="shared" si="4"/>
        <v>0</v>
      </c>
    </row>
    <row r="67" spans="2:21" s="228" customFormat="1" ht="19.5" customHeight="1">
      <c r="B67" s="233" t="s">
        <v>692</v>
      </c>
      <c r="C67" s="230" t="s">
        <v>148</v>
      </c>
      <c r="D67" s="231">
        <v>0</v>
      </c>
      <c r="E67" s="236">
        <v>22412.34</v>
      </c>
      <c r="F67" s="236">
        <v>22412.34</v>
      </c>
      <c r="G67" s="231">
        <v>0</v>
      </c>
      <c r="H67" s="232"/>
      <c r="I67" s="320">
        <f t="shared" si="1"/>
        <v>0</v>
      </c>
      <c r="J67" s="320">
        <f t="shared" si="2"/>
        <v>22.41234</v>
      </c>
      <c r="K67" s="320">
        <f t="shared" si="3"/>
        <v>22.41234</v>
      </c>
      <c r="L67" s="320">
        <f t="shared" si="4"/>
        <v>0</v>
      </c>
      <c r="O67" s="252"/>
      <c r="P67" s="252"/>
      <c r="Q67" s="252"/>
      <c r="R67" s="252"/>
      <c r="S67" s="252"/>
      <c r="T67" s="252"/>
      <c r="U67" s="252"/>
    </row>
    <row r="68" spans="2:12" ht="20.25" customHeight="1">
      <c r="B68" s="234" t="s">
        <v>693</v>
      </c>
      <c r="C68" s="235" t="s">
        <v>149</v>
      </c>
      <c r="D68" s="236">
        <v>0</v>
      </c>
      <c r="E68" s="236">
        <v>22412.34</v>
      </c>
      <c r="F68" s="236">
        <v>22412.34</v>
      </c>
      <c r="G68" s="236">
        <v>0</v>
      </c>
      <c r="I68" s="320">
        <f aca="true" t="shared" si="5" ref="I68:I94">D68/1000</f>
        <v>0</v>
      </c>
      <c r="J68" s="320">
        <f aca="true" t="shared" si="6" ref="J68:J94">E68/1000</f>
        <v>22.41234</v>
      </c>
      <c r="K68" s="320">
        <f aca="true" t="shared" si="7" ref="K68:K94">F68/1000</f>
        <v>22.41234</v>
      </c>
      <c r="L68" s="320">
        <f aca="true" t="shared" si="8" ref="L68:L94">G68/1000</f>
        <v>0</v>
      </c>
    </row>
    <row r="69" spans="2:21" s="228" customFormat="1" ht="19.5" customHeight="1">
      <c r="B69" s="233" t="s">
        <v>694</v>
      </c>
      <c r="C69" s="254" t="s">
        <v>338</v>
      </c>
      <c r="D69" s="231">
        <v>0</v>
      </c>
      <c r="E69" s="236">
        <v>3511.22</v>
      </c>
      <c r="F69" s="236">
        <v>295.45</v>
      </c>
      <c r="G69" s="231">
        <v>3215.77</v>
      </c>
      <c r="H69" s="232"/>
      <c r="I69" s="320">
        <f t="shared" si="5"/>
        <v>0</v>
      </c>
      <c r="J69" s="320">
        <f t="shared" si="6"/>
        <v>3.51122</v>
      </c>
      <c r="K69" s="320">
        <f t="shared" si="7"/>
        <v>0.29545</v>
      </c>
      <c r="L69" s="321">
        <f t="shared" si="8"/>
        <v>3.21577</v>
      </c>
      <c r="O69" s="252"/>
      <c r="P69" s="252"/>
      <c r="Q69" s="252"/>
      <c r="R69" s="252"/>
      <c r="S69" s="252"/>
      <c r="T69" s="252"/>
      <c r="U69" s="252"/>
    </row>
    <row r="70" spans="2:21" s="228" customFormat="1" ht="19.5" customHeight="1">
      <c r="B70" s="233" t="s">
        <v>695</v>
      </c>
      <c r="C70" s="230" t="s">
        <v>339</v>
      </c>
      <c r="D70" s="231">
        <v>0</v>
      </c>
      <c r="E70" s="236">
        <v>3511.22</v>
      </c>
      <c r="F70" s="236">
        <v>295.45</v>
      </c>
      <c r="G70" s="231">
        <v>3215.77</v>
      </c>
      <c r="H70" s="232"/>
      <c r="I70" s="320">
        <f t="shared" si="5"/>
        <v>0</v>
      </c>
      <c r="J70" s="320">
        <f t="shared" si="6"/>
        <v>3.51122</v>
      </c>
      <c r="K70" s="320">
        <f t="shared" si="7"/>
        <v>0.29545</v>
      </c>
      <c r="L70" s="320">
        <f t="shared" si="8"/>
        <v>3.21577</v>
      </c>
      <c r="O70" s="252"/>
      <c r="P70" s="252"/>
      <c r="Q70" s="252"/>
      <c r="R70" s="252"/>
      <c r="S70" s="252"/>
      <c r="T70" s="252"/>
      <c r="U70" s="252"/>
    </row>
    <row r="71" spans="2:21" s="228" customFormat="1" ht="19.5" customHeight="1">
      <c r="B71" s="233" t="s">
        <v>696</v>
      </c>
      <c r="C71" s="230" t="s">
        <v>340</v>
      </c>
      <c r="D71" s="231">
        <v>0</v>
      </c>
      <c r="E71" s="231">
        <v>3511.22</v>
      </c>
      <c r="F71" s="236">
        <v>295.45</v>
      </c>
      <c r="G71" s="231">
        <v>3215.77</v>
      </c>
      <c r="H71" s="232"/>
      <c r="I71" s="320">
        <f t="shared" si="5"/>
        <v>0</v>
      </c>
      <c r="J71" s="320">
        <f t="shared" si="6"/>
        <v>3.51122</v>
      </c>
      <c r="K71" s="320">
        <f t="shared" si="7"/>
        <v>0.29545</v>
      </c>
      <c r="L71" s="320">
        <f t="shared" si="8"/>
        <v>3.21577</v>
      </c>
      <c r="O71" s="252"/>
      <c r="P71" s="252"/>
      <c r="Q71" s="252"/>
      <c r="R71" s="252"/>
      <c r="S71" s="252"/>
      <c r="T71" s="252"/>
      <c r="U71" s="252"/>
    </row>
    <row r="72" spans="2:12" ht="19.5" customHeight="1">
      <c r="B72" s="234" t="s">
        <v>697</v>
      </c>
      <c r="C72" s="235" t="s">
        <v>341</v>
      </c>
      <c r="D72" s="236">
        <v>0</v>
      </c>
      <c r="E72" s="236">
        <v>3511.22</v>
      </c>
      <c r="F72" s="236">
        <v>295.45</v>
      </c>
      <c r="G72" s="236">
        <v>3215.77</v>
      </c>
      <c r="I72" s="320">
        <f t="shared" si="5"/>
        <v>0</v>
      </c>
      <c r="J72" s="320">
        <f t="shared" si="6"/>
        <v>3.51122</v>
      </c>
      <c r="K72" s="320">
        <f t="shared" si="7"/>
        <v>0.29545</v>
      </c>
      <c r="L72" s="320">
        <f t="shared" si="8"/>
        <v>3.21577</v>
      </c>
    </row>
    <row r="73" spans="2:21" s="228" customFormat="1" ht="19.5" customHeight="1">
      <c r="B73" s="233" t="s">
        <v>698</v>
      </c>
      <c r="C73" s="254" t="s">
        <v>150</v>
      </c>
      <c r="D73" s="231">
        <v>407975.48</v>
      </c>
      <c r="E73" s="231">
        <v>1591018.71</v>
      </c>
      <c r="F73" s="231">
        <v>1698978.7</v>
      </c>
      <c r="G73" s="231">
        <v>300015.49</v>
      </c>
      <c r="H73" s="232"/>
      <c r="I73" s="321">
        <f t="shared" si="5"/>
        <v>407.97548</v>
      </c>
      <c r="J73" s="320">
        <f t="shared" si="6"/>
        <v>1591.01871</v>
      </c>
      <c r="K73" s="320">
        <f t="shared" si="7"/>
        <v>1698.9787</v>
      </c>
      <c r="L73" s="321">
        <f t="shared" si="8"/>
        <v>300.01549</v>
      </c>
      <c r="O73" s="252"/>
      <c r="P73" s="252"/>
      <c r="Q73" s="252"/>
      <c r="R73" s="252"/>
      <c r="S73" s="252"/>
      <c r="T73" s="252"/>
      <c r="U73" s="252"/>
    </row>
    <row r="74" spans="2:21" s="228" customFormat="1" ht="19.5" customHeight="1">
      <c r="B74" s="233" t="s">
        <v>699</v>
      </c>
      <c r="C74" s="230" t="s">
        <v>151</v>
      </c>
      <c r="D74" s="231">
        <v>407975.48</v>
      </c>
      <c r="E74" s="231">
        <v>1591018.71</v>
      </c>
      <c r="F74" s="231">
        <v>1698978.7</v>
      </c>
      <c r="G74" s="231">
        <v>300015.49</v>
      </c>
      <c r="H74" s="232"/>
      <c r="I74" s="320">
        <f t="shared" si="5"/>
        <v>407.97548</v>
      </c>
      <c r="J74" s="320">
        <f t="shared" si="6"/>
        <v>1591.01871</v>
      </c>
      <c r="K74" s="320">
        <f t="shared" si="7"/>
        <v>1698.9787</v>
      </c>
      <c r="L74" s="320">
        <f t="shared" si="8"/>
        <v>300.01549</v>
      </c>
      <c r="O74" s="252"/>
      <c r="P74" s="252"/>
      <c r="Q74" s="252"/>
      <c r="R74" s="252"/>
      <c r="S74" s="252"/>
      <c r="T74" s="252"/>
      <c r="U74" s="252"/>
    </row>
    <row r="75" spans="2:21" s="228" customFormat="1" ht="19.5" customHeight="1">
      <c r="B75" s="233" t="s">
        <v>700</v>
      </c>
      <c r="C75" s="230" t="s">
        <v>152</v>
      </c>
      <c r="D75" s="231">
        <v>83913.77</v>
      </c>
      <c r="E75" s="231">
        <v>445800.27</v>
      </c>
      <c r="F75" s="231">
        <v>452465.12</v>
      </c>
      <c r="G75" s="231">
        <v>77248.92</v>
      </c>
      <c r="H75" s="232"/>
      <c r="I75" s="320">
        <f t="shared" si="5"/>
        <v>83.91377</v>
      </c>
      <c r="J75" s="320">
        <f t="shared" si="6"/>
        <v>445.80027</v>
      </c>
      <c r="K75" s="320">
        <f t="shared" si="7"/>
        <v>452.46512</v>
      </c>
      <c r="L75" s="320">
        <f t="shared" si="8"/>
        <v>77.24892</v>
      </c>
      <c r="O75" s="252"/>
      <c r="P75" s="252"/>
      <c r="Q75" s="252"/>
      <c r="R75" s="252"/>
      <c r="S75" s="252"/>
      <c r="T75" s="252"/>
      <c r="U75" s="252"/>
    </row>
    <row r="76" spans="2:12" ht="19.5" customHeight="1">
      <c r="B76" s="234" t="s">
        <v>701</v>
      </c>
      <c r="C76" s="235" t="s">
        <v>153</v>
      </c>
      <c r="D76" s="236">
        <v>83913.77</v>
      </c>
      <c r="E76" s="236">
        <v>445800.27</v>
      </c>
      <c r="F76" s="236">
        <v>452465.12</v>
      </c>
      <c r="G76" s="236">
        <v>77248.92</v>
      </c>
      <c r="I76" s="320">
        <f t="shared" si="5"/>
        <v>83.91377</v>
      </c>
      <c r="J76" s="320">
        <f t="shared" si="6"/>
        <v>445.80027</v>
      </c>
      <c r="K76" s="320">
        <f t="shared" si="7"/>
        <v>452.46512</v>
      </c>
      <c r="L76" s="320">
        <f t="shared" si="8"/>
        <v>77.24892</v>
      </c>
    </row>
    <row r="77" spans="2:21" s="228" customFormat="1" ht="19.5" customHeight="1">
      <c r="B77" s="233" t="s">
        <v>702</v>
      </c>
      <c r="C77" s="230" t="s">
        <v>154</v>
      </c>
      <c r="D77" s="231">
        <v>324061.71</v>
      </c>
      <c r="E77" s="231">
        <v>1145218.44</v>
      </c>
      <c r="F77" s="231">
        <v>1246513.58</v>
      </c>
      <c r="G77" s="231">
        <v>222766.57</v>
      </c>
      <c r="H77" s="232"/>
      <c r="I77" s="320">
        <f t="shared" si="5"/>
        <v>324.06171</v>
      </c>
      <c r="J77" s="320">
        <f t="shared" si="6"/>
        <v>1145.2184399999999</v>
      </c>
      <c r="K77" s="320">
        <f t="shared" si="7"/>
        <v>1246.51358</v>
      </c>
      <c r="L77" s="320">
        <f t="shared" si="8"/>
        <v>222.76657</v>
      </c>
      <c r="O77" s="252"/>
      <c r="P77" s="252"/>
      <c r="Q77" s="252"/>
      <c r="R77" s="252"/>
      <c r="S77" s="252"/>
      <c r="T77" s="252"/>
      <c r="U77" s="252"/>
    </row>
    <row r="78" spans="2:12" ht="19.5" customHeight="1">
      <c r="B78" s="234" t="s">
        <v>703</v>
      </c>
      <c r="C78" s="235" t="s">
        <v>155</v>
      </c>
      <c r="D78" s="236">
        <v>324061.71</v>
      </c>
      <c r="E78" s="236">
        <v>1086143.18</v>
      </c>
      <c r="F78" s="236">
        <v>1220560.14</v>
      </c>
      <c r="G78" s="236">
        <v>189644.75</v>
      </c>
      <c r="I78" s="320">
        <f t="shared" si="5"/>
        <v>324.06171</v>
      </c>
      <c r="J78" s="320">
        <f t="shared" si="6"/>
        <v>1086.14318</v>
      </c>
      <c r="K78" s="320">
        <f t="shared" si="7"/>
        <v>1220.5601399999998</v>
      </c>
      <c r="L78" s="320">
        <f t="shared" si="8"/>
        <v>189.64475</v>
      </c>
    </row>
    <row r="79" spans="2:12" ht="19.5" customHeight="1">
      <c r="B79" s="234" t="s">
        <v>704</v>
      </c>
      <c r="C79" s="235" t="s">
        <v>342</v>
      </c>
      <c r="D79" s="236">
        <v>0</v>
      </c>
      <c r="E79" s="236">
        <v>59075.26</v>
      </c>
      <c r="F79" s="236">
        <v>25953.44</v>
      </c>
      <c r="G79" s="236">
        <v>33121.82</v>
      </c>
      <c r="I79" s="320">
        <f t="shared" si="5"/>
        <v>0</v>
      </c>
      <c r="J79" s="320">
        <f t="shared" si="6"/>
        <v>59.07526</v>
      </c>
      <c r="K79" s="320">
        <f t="shared" si="7"/>
        <v>25.953439999999997</v>
      </c>
      <c r="L79" s="320">
        <f t="shared" si="8"/>
        <v>33.12182</v>
      </c>
    </row>
    <row r="80" spans="2:21" s="228" customFormat="1" ht="19.5" customHeight="1">
      <c r="B80" s="233" t="s">
        <v>705</v>
      </c>
      <c r="C80" s="254" t="s">
        <v>156</v>
      </c>
      <c r="D80" s="231">
        <v>383159.81</v>
      </c>
      <c r="E80" s="236">
        <v>78250.67</v>
      </c>
      <c r="F80" s="236">
        <v>86486.18</v>
      </c>
      <c r="G80" s="231">
        <v>374924.3</v>
      </c>
      <c r="H80" s="232"/>
      <c r="I80" s="321">
        <f t="shared" si="5"/>
        <v>383.15981</v>
      </c>
      <c r="J80" s="320">
        <f t="shared" si="6"/>
        <v>78.25067</v>
      </c>
      <c r="K80" s="320">
        <f t="shared" si="7"/>
        <v>86.48617999999999</v>
      </c>
      <c r="L80" s="321">
        <f t="shared" si="8"/>
        <v>374.9243</v>
      </c>
      <c r="O80" s="252"/>
      <c r="P80" s="252"/>
      <c r="Q80" s="252"/>
      <c r="R80" s="252"/>
      <c r="S80" s="252"/>
      <c r="T80" s="252"/>
      <c r="U80" s="252"/>
    </row>
    <row r="81" spans="2:21" s="228" customFormat="1" ht="19.5" customHeight="1">
      <c r="B81" s="233" t="s">
        <v>706</v>
      </c>
      <c r="C81" s="230" t="s">
        <v>343</v>
      </c>
      <c r="D81" s="231">
        <v>11625.68</v>
      </c>
      <c r="E81" s="236">
        <v>36404.5</v>
      </c>
      <c r="F81" s="231">
        <v>35380.7</v>
      </c>
      <c r="G81" s="231">
        <v>12649.48</v>
      </c>
      <c r="H81" s="232"/>
      <c r="I81" s="320">
        <f t="shared" si="5"/>
        <v>11.625680000000001</v>
      </c>
      <c r="J81" s="320">
        <f t="shared" si="6"/>
        <v>36.4045</v>
      </c>
      <c r="K81" s="320">
        <f t="shared" si="7"/>
        <v>35.3807</v>
      </c>
      <c r="L81" s="320">
        <f t="shared" si="8"/>
        <v>12.649479999999999</v>
      </c>
      <c r="O81" s="252"/>
      <c r="P81" s="252"/>
      <c r="Q81" s="252"/>
      <c r="R81" s="252"/>
      <c r="S81" s="252"/>
      <c r="T81" s="252"/>
      <c r="U81" s="252"/>
    </row>
    <row r="82" spans="2:21" s="228" customFormat="1" ht="19.5" customHeight="1">
      <c r="B82" s="233" t="s">
        <v>707</v>
      </c>
      <c r="C82" s="230" t="s">
        <v>344</v>
      </c>
      <c r="D82" s="231">
        <v>11625.68</v>
      </c>
      <c r="E82" s="236">
        <v>36404.5</v>
      </c>
      <c r="F82" s="231">
        <v>35380.7</v>
      </c>
      <c r="G82" s="231">
        <v>12649.48</v>
      </c>
      <c r="H82" s="232"/>
      <c r="I82" s="320">
        <f t="shared" si="5"/>
        <v>11.625680000000001</v>
      </c>
      <c r="J82" s="320">
        <f t="shared" si="6"/>
        <v>36.4045</v>
      </c>
      <c r="K82" s="320">
        <f t="shared" si="7"/>
        <v>35.3807</v>
      </c>
      <c r="L82" s="320">
        <f t="shared" si="8"/>
        <v>12.649479999999999</v>
      </c>
      <c r="O82" s="252"/>
      <c r="P82" s="252"/>
      <c r="Q82" s="252"/>
      <c r="R82" s="252"/>
      <c r="S82" s="252"/>
      <c r="T82" s="252"/>
      <c r="U82" s="252"/>
    </row>
    <row r="83" spans="2:12" ht="19.5" customHeight="1">
      <c r="B83" s="234" t="s">
        <v>708</v>
      </c>
      <c r="C83" s="235" t="s">
        <v>345</v>
      </c>
      <c r="D83" s="236">
        <v>11625.68</v>
      </c>
      <c r="E83" s="236">
        <v>36404.5</v>
      </c>
      <c r="F83" s="236">
        <v>35380.7</v>
      </c>
      <c r="G83" s="236">
        <v>12649.48</v>
      </c>
      <c r="I83" s="320">
        <f t="shared" si="5"/>
        <v>11.625680000000001</v>
      </c>
      <c r="J83" s="320">
        <f t="shared" si="6"/>
        <v>36.4045</v>
      </c>
      <c r="K83" s="320">
        <f t="shared" si="7"/>
        <v>35.3807</v>
      </c>
      <c r="L83" s="320">
        <f t="shared" si="8"/>
        <v>12.649479999999999</v>
      </c>
    </row>
    <row r="84" spans="2:21" s="228" customFormat="1" ht="19.5" customHeight="1">
      <c r="B84" s="233" t="s">
        <v>709</v>
      </c>
      <c r="C84" s="230" t="s">
        <v>157</v>
      </c>
      <c r="D84" s="231">
        <v>371534.13</v>
      </c>
      <c r="E84" s="236">
        <v>41846.17</v>
      </c>
      <c r="F84" s="231">
        <v>51105.48</v>
      </c>
      <c r="G84" s="231">
        <v>362274.82</v>
      </c>
      <c r="H84" s="232"/>
      <c r="I84" s="320">
        <f t="shared" si="5"/>
        <v>371.53413</v>
      </c>
      <c r="J84" s="320">
        <f t="shared" si="6"/>
        <v>41.84617</v>
      </c>
      <c r="K84" s="320">
        <f t="shared" si="7"/>
        <v>51.10548</v>
      </c>
      <c r="L84" s="320">
        <f t="shared" si="8"/>
        <v>362.27482000000003</v>
      </c>
      <c r="O84" s="252"/>
      <c r="P84" s="252"/>
      <c r="Q84" s="252"/>
      <c r="R84" s="252"/>
      <c r="S84" s="252"/>
      <c r="T84" s="252"/>
      <c r="U84" s="252"/>
    </row>
    <row r="85" spans="2:21" s="228" customFormat="1" ht="20.25" customHeight="1">
      <c r="B85" s="233" t="s">
        <v>710</v>
      </c>
      <c r="C85" s="230" t="s">
        <v>158</v>
      </c>
      <c r="D85" s="231">
        <v>371534.13</v>
      </c>
      <c r="E85" s="236">
        <v>34915.27</v>
      </c>
      <c r="F85" s="231">
        <v>51105.48</v>
      </c>
      <c r="G85" s="231">
        <v>355343.92</v>
      </c>
      <c r="H85" s="232"/>
      <c r="I85" s="320">
        <f t="shared" si="5"/>
        <v>371.53413</v>
      </c>
      <c r="J85" s="320">
        <f t="shared" si="6"/>
        <v>34.91527</v>
      </c>
      <c r="K85" s="320">
        <f t="shared" si="7"/>
        <v>51.10548</v>
      </c>
      <c r="L85" s="320">
        <f t="shared" si="8"/>
        <v>355.34391999999997</v>
      </c>
      <c r="O85" s="252"/>
      <c r="P85" s="252"/>
      <c r="Q85" s="252"/>
      <c r="R85" s="252"/>
      <c r="S85" s="252"/>
      <c r="T85" s="252"/>
      <c r="U85" s="252"/>
    </row>
    <row r="86" spans="2:12" ht="19.5" customHeight="1">
      <c r="B86" s="234" t="s">
        <v>711</v>
      </c>
      <c r="C86" s="235" t="s">
        <v>159</v>
      </c>
      <c r="D86" s="236">
        <v>371534.13</v>
      </c>
      <c r="E86" s="236">
        <v>34915.27</v>
      </c>
      <c r="F86" s="236">
        <v>51105.48</v>
      </c>
      <c r="G86" s="236">
        <v>355343.92</v>
      </c>
      <c r="I86" s="320">
        <f t="shared" si="5"/>
        <v>371.53413</v>
      </c>
      <c r="J86" s="320">
        <f t="shared" si="6"/>
        <v>34.91527</v>
      </c>
      <c r="K86" s="320">
        <f t="shared" si="7"/>
        <v>51.10548</v>
      </c>
      <c r="L86" s="320">
        <f t="shared" si="8"/>
        <v>355.34391999999997</v>
      </c>
    </row>
    <row r="87" spans="2:21" s="228" customFormat="1" ht="19.5" customHeight="1">
      <c r="B87" s="233" t="s">
        <v>712</v>
      </c>
      <c r="C87" s="230" t="s">
        <v>346</v>
      </c>
      <c r="D87" s="231">
        <v>0</v>
      </c>
      <c r="E87" s="236">
        <v>6930.9</v>
      </c>
      <c r="F87" s="236"/>
      <c r="G87" s="231">
        <v>6930.9</v>
      </c>
      <c r="H87" s="232"/>
      <c r="I87" s="320">
        <f t="shared" si="5"/>
        <v>0</v>
      </c>
      <c r="J87" s="320">
        <f t="shared" si="6"/>
        <v>6.930899999999999</v>
      </c>
      <c r="K87" s="320">
        <f t="shared" si="7"/>
        <v>0</v>
      </c>
      <c r="L87" s="320">
        <f t="shared" si="8"/>
        <v>6.930899999999999</v>
      </c>
      <c r="O87" s="252"/>
      <c r="P87" s="252"/>
      <c r="Q87" s="252"/>
      <c r="R87" s="252"/>
      <c r="S87" s="252"/>
      <c r="T87" s="252"/>
      <c r="U87" s="252"/>
    </row>
    <row r="88" spans="2:12" ht="19.5" customHeight="1">
      <c r="B88" s="234" t="s">
        <v>713</v>
      </c>
      <c r="C88" s="235" t="s">
        <v>347</v>
      </c>
      <c r="D88" s="236">
        <v>0</v>
      </c>
      <c r="E88" s="236">
        <v>6930.9</v>
      </c>
      <c r="F88" s="236"/>
      <c r="G88" s="236">
        <v>6930.9</v>
      </c>
      <c r="I88" s="320">
        <f t="shared" si="5"/>
        <v>0</v>
      </c>
      <c r="J88" s="320">
        <f t="shared" si="6"/>
        <v>6.930899999999999</v>
      </c>
      <c r="K88" s="320">
        <f t="shared" si="7"/>
        <v>0</v>
      </c>
      <c r="L88" s="320">
        <f t="shared" si="8"/>
        <v>6.930899999999999</v>
      </c>
    </row>
    <row r="89" spans="2:21" s="228" customFormat="1" ht="19.5" customHeight="1">
      <c r="B89" s="233" t="s">
        <v>714</v>
      </c>
      <c r="C89" s="230" t="s">
        <v>160</v>
      </c>
      <c r="D89" s="231">
        <v>73332639.73</v>
      </c>
      <c r="E89" s="231">
        <v>6670818.51</v>
      </c>
      <c r="F89" s="231">
        <v>3608482.17</v>
      </c>
      <c r="G89" s="231">
        <v>76394976.07</v>
      </c>
      <c r="H89" s="232"/>
      <c r="I89" s="320">
        <f t="shared" si="5"/>
        <v>73332.63973000001</v>
      </c>
      <c r="J89" s="320">
        <f t="shared" si="6"/>
        <v>6670.81851</v>
      </c>
      <c r="K89" s="320">
        <f t="shared" si="7"/>
        <v>3608.4821699999998</v>
      </c>
      <c r="L89" s="320">
        <f t="shared" si="8"/>
        <v>76394.97606999999</v>
      </c>
      <c r="O89" s="252">
        <f>L89-I89</f>
        <v>3062.33633999998</v>
      </c>
      <c r="P89" s="252"/>
      <c r="Q89" s="252"/>
      <c r="R89" s="252"/>
      <c r="S89" s="252"/>
      <c r="T89" s="252"/>
      <c r="U89" s="252"/>
    </row>
    <row r="90" spans="2:21" s="228" customFormat="1" ht="19.5" customHeight="1">
      <c r="B90" s="233" t="s">
        <v>715</v>
      </c>
      <c r="C90" s="230" t="s">
        <v>161</v>
      </c>
      <c r="D90" s="231">
        <v>0</v>
      </c>
      <c r="E90" s="231">
        <v>57458.31</v>
      </c>
      <c r="F90" s="231">
        <v>57458.31</v>
      </c>
      <c r="G90" s="231">
        <v>0</v>
      </c>
      <c r="H90" s="232"/>
      <c r="I90" s="320">
        <f t="shared" si="5"/>
        <v>0</v>
      </c>
      <c r="J90" s="320">
        <f t="shared" si="6"/>
        <v>57.45831</v>
      </c>
      <c r="K90" s="320">
        <f t="shared" si="7"/>
        <v>57.45831</v>
      </c>
      <c r="L90" s="320">
        <f t="shared" si="8"/>
        <v>0</v>
      </c>
      <c r="O90" s="252"/>
      <c r="P90" s="252"/>
      <c r="Q90" s="252"/>
      <c r="R90" s="252"/>
      <c r="S90" s="252"/>
      <c r="T90" s="252"/>
      <c r="U90" s="252"/>
    </row>
    <row r="91" spans="2:21" s="228" customFormat="1" ht="19.5" customHeight="1">
      <c r="B91" s="233" t="s">
        <v>716</v>
      </c>
      <c r="C91" s="230" t="s">
        <v>162</v>
      </c>
      <c r="D91" s="231">
        <v>0</v>
      </c>
      <c r="E91" s="231">
        <v>57458.31</v>
      </c>
      <c r="F91" s="231">
        <v>57458.31</v>
      </c>
      <c r="G91" s="231">
        <v>0</v>
      </c>
      <c r="H91" s="232"/>
      <c r="I91" s="320">
        <f t="shared" si="5"/>
        <v>0</v>
      </c>
      <c r="J91" s="320">
        <f t="shared" si="6"/>
        <v>57.45831</v>
      </c>
      <c r="K91" s="320">
        <f t="shared" si="7"/>
        <v>57.45831</v>
      </c>
      <c r="L91" s="320">
        <f t="shared" si="8"/>
        <v>0</v>
      </c>
      <c r="O91" s="252">
        <f>J89-K89</f>
        <v>3062.3363400000003</v>
      </c>
      <c r="P91" s="252"/>
      <c r="Q91" s="252"/>
      <c r="R91" s="252"/>
      <c r="S91" s="252"/>
      <c r="T91" s="252"/>
      <c r="U91" s="252"/>
    </row>
    <row r="92" spans="2:21" s="228" customFormat="1" ht="19.5" customHeight="1">
      <c r="B92" s="233" t="s">
        <v>717</v>
      </c>
      <c r="C92" s="230" t="s">
        <v>163</v>
      </c>
      <c r="D92" s="231">
        <v>0</v>
      </c>
      <c r="E92" s="231">
        <v>57458.31</v>
      </c>
      <c r="F92" s="231">
        <v>57458.31</v>
      </c>
      <c r="G92" s="231">
        <v>0</v>
      </c>
      <c r="H92" s="232"/>
      <c r="I92" s="320">
        <f t="shared" si="5"/>
        <v>0</v>
      </c>
      <c r="J92" s="320">
        <f t="shared" si="6"/>
        <v>57.45831</v>
      </c>
      <c r="K92" s="320">
        <f t="shared" si="7"/>
        <v>57.45831</v>
      </c>
      <c r="L92" s="320">
        <f t="shared" si="8"/>
        <v>0</v>
      </c>
      <c r="O92" s="252"/>
      <c r="P92" s="252"/>
      <c r="Q92" s="252"/>
      <c r="R92" s="252"/>
      <c r="S92" s="252"/>
      <c r="T92" s="252"/>
      <c r="U92" s="252"/>
    </row>
    <row r="93" spans="2:15" ht="19.5" customHeight="1">
      <c r="B93" s="234" t="s">
        <v>718</v>
      </c>
      <c r="C93" s="235" t="s">
        <v>164</v>
      </c>
      <c r="D93" s="236">
        <v>0</v>
      </c>
      <c r="E93" s="236">
        <v>32136.01</v>
      </c>
      <c r="F93" s="236">
        <v>32136.01</v>
      </c>
      <c r="G93" s="236">
        <v>0</v>
      </c>
      <c r="I93" s="320">
        <f t="shared" si="5"/>
        <v>0</v>
      </c>
      <c r="J93" s="320">
        <f t="shared" si="6"/>
        <v>32.13601</v>
      </c>
      <c r="K93" s="320">
        <f t="shared" si="7"/>
        <v>32.13601</v>
      </c>
      <c r="L93" s="320">
        <f t="shared" si="8"/>
        <v>0</v>
      </c>
      <c r="O93" s="250">
        <v>2916.31471</v>
      </c>
    </row>
    <row r="94" spans="2:15" ht="19.5" customHeight="1">
      <c r="B94" s="234" t="s">
        <v>719</v>
      </c>
      <c r="C94" s="235" t="s">
        <v>165</v>
      </c>
      <c r="D94" s="236">
        <v>0</v>
      </c>
      <c r="E94" s="236">
        <v>25322.3</v>
      </c>
      <c r="F94" s="236">
        <v>25322.3</v>
      </c>
      <c r="G94" s="236">
        <v>0</v>
      </c>
      <c r="I94" s="320">
        <f t="shared" si="5"/>
        <v>0</v>
      </c>
      <c r="J94" s="320">
        <f t="shared" si="6"/>
        <v>25.3223</v>
      </c>
      <c r="K94" s="320">
        <f t="shared" si="7"/>
        <v>25.3223</v>
      </c>
      <c r="L94" s="320">
        <f t="shared" si="8"/>
        <v>0</v>
      </c>
      <c r="O94" s="250">
        <f>SUM(O91:O93)</f>
        <v>5978.65105</v>
      </c>
    </row>
    <row r="95" spans="2:21" s="228" customFormat="1" ht="19.5" customHeight="1">
      <c r="B95" s="233" t="s">
        <v>720</v>
      </c>
      <c r="C95" s="254" t="s">
        <v>348</v>
      </c>
      <c r="D95" s="231">
        <v>72707639.73</v>
      </c>
      <c r="E95" s="236">
        <v>6613360.2</v>
      </c>
      <c r="F95" s="236">
        <v>3551023.86</v>
      </c>
      <c r="G95" s="231">
        <v>75769976.07</v>
      </c>
      <c r="H95" s="232"/>
      <c r="I95" s="321">
        <f aca="true" t="shared" si="9" ref="I95:I103">D95/1000</f>
        <v>72707.63973000001</v>
      </c>
      <c r="J95" s="320">
        <f aca="true" t="shared" si="10" ref="J95:J103">E95/1000</f>
        <v>6613.3602</v>
      </c>
      <c r="K95" s="320">
        <f aca="true" t="shared" si="11" ref="K95:K103">F95/1000</f>
        <v>3551.02386</v>
      </c>
      <c r="L95" s="321">
        <f aca="true" t="shared" si="12" ref="L95:L103">G95/1000</f>
        <v>75769.97606999999</v>
      </c>
      <c r="O95" s="252"/>
      <c r="P95" s="252"/>
      <c r="Q95" s="252"/>
      <c r="R95" s="252"/>
      <c r="S95" s="252"/>
      <c r="T95" s="252"/>
      <c r="U95" s="252"/>
    </row>
    <row r="96" spans="2:21" s="228" customFormat="1" ht="19.5" customHeight="1">
      <c r="B96" s="233" t="s">
        <v>721</v>
      </c>
      <c r="C96" s="230" t="s">
        <v>351</v>
      </c>
      <c r="D96" s="231">
        <v>72707639.73</v>
      </c>
      <c r="E96" s="231">
        <v>6613360.2</v>
      </c>
      <c r="F96" s="236">
        <v>3551023.86</v>
      </c>
      <c r="G96" s="231">
        <v>75769976.07</v>
      </c>
      <c r="H96" s="232"/>
      <c r="I96" s="320">
        <f t="shared" si="9"/>
        <v>72707.63973000001</v>
      </c>
      <c r="J96" s="320">
        <f t="shared" si="10"/>
        <v>6613.3602</v>
      </c>
      <c r="K96" s="320">
        <f t="shared" si="11"/>
        <v>3551.02386</v>
      </c>
      <c r="L96" s="320">
        <f t="shared" si="12"/>
        <v>75769.97606999999</v>
      </c>
      <c r="O96" s="252">
        <f>J95</f>
        <v>6613.3602</v>
      </c>
      <c r="P96" s="252"/>
      <c r="Q96" s="252"/>
      <c r="R96" s="252"/>
      <c r="S96" s="252"/>
      <c r="T96" s="252"/>
      <c r="U96" s="252"/>
    </row>
    <row r="97" spans="2:21" s="228" customFormat="1" ht="19.5" customHeight="1">
      <c r="B97" s="233" t="s">
        <v>722</v>
      </c>
      <c r="C97" s="230" t="s">
        <v>352</v>
      </c>
      <c r="D97" s="231">
        <v>4781900.22</v>
      </c>
      <c r="E97" s="236">
        <v>6690</v>
      </c>
      <c r="F97" s="236">
        <v>7380</v>
      </c>
      <c r="G97" s="231">
        <v>4781210.22</v>
      </c>
      <c r="H97" s="232"/>
      <c r="I97" s="320">
        <f t="shared" si="9"/>
        <v>4781.9002199999995</v>
      </c>
      <c r="J97" s="320">
        <f t="shared" si="10"/>
        <v>6.69</v>
      </c>
      <c r="K97" s="320">
        <f t="shared" si="11"/>
        <v>7.38</v>
      </c>
      <c r="L97" s="320">
        <f t="shared" si="12"/>
        <v>4781.21022</v>
      </c>
      <c r="O97" s="252">
        <f>K96-K118</f>
        <v>634.7091499999997</v>
      </c>
      <c r="P97" s="252"/>
      <c r="Q97" s="252"/>
      <c r="R97" s="252"/>
      <c r="S97" s="252"/>
      <c r="T97" s="252"/>
      <c r="U97" s="252"/>
    </row>
    <row r="98" spans="2:15" ht="19.5" customHeight="1">
      <c r="B98" s="234" t="s">
        <v>723</v>
      </c>
      <c r="C98" s="235" t="s">
        <v>349</v>
      </c>
      <c r="D98" s="236">
        <v>76426.94</v>
      </c>
      <c r="E98" s="236">
        <v>3690</v>
      </c>
      <c r="F98" s="236">
        <v>7380</v>
      </c>
      <c r="G98" s="236">
        <v>72736.94</v>
      </c>
      <c r="I98" s="320">
        <f t="shared" si="9"/>
        <v>76.42694</v>
      </c>
      <c r="J98" s="320">
        <f t="shared" si="10"/>
        <v>3.69</v>
      </c>
      <c r="K98" s="320">
        <f t="shared" si="11"/>
        <v>7.38</v>
      </c>
      <c r="L98" s="320">
        <f t="shared" si="12"/>
        <v>72.73694</v>
      </c>
      <c r="O98" s="250">
        <f>O96-O97</f>
        <v>5978.65105</v>
      </c>
    </row>
    <row r="99" spans="2:12" ht="19.5" customHeight="1">
      <c r="B99" s="234" t="s">
        <v>724</v>
      </c>
      <c r="C99" s="235" t="s">
        <v>353</v>
      </c>
      <c r="D99" s="236">
        <v>4705473.28</v>
      </c>
      <c r="E99" s="236"/>
      <c r="F99" s="236"/>
      <c r="G99" s="236">
        <v>4705473.28</v>
      </c>
      <c r="I99" s="320">
        <f t="shared" si="9"/>
        <v>4705.47328</v>
      </c>
      <c r="J99" s="320">
        <f t="shared" si="10"/>
        <v>0</v>
      </c>
      <c r="K99" s="320">
        <f t="shared" si="11"/>
        <v>0</v>
      </c>
      <c r="L99" s="320">
        <f t="shared" si="12"/>
        <v>4705.47328</v>
      </c>
    </row>
    <row r="100" spans="2:15" ht="19.5" customHeight="1">
      <c r="B100" s="234" t="s">
        <v>725</v>
      </c>
      <c r="C100" s="235" t="s">
        <v>354</v>
      </c>
      <c r="D100" s="236">
        <v>0</v>
      </c>
      <c r="E100" s="236">
        <v>3000</v>
      </c>
      <c r="F100" s="236"/>
      <c r="G100" s="236">
        <v>3000</v>
      </c>
      <c r="I100" s="320">
        <f t="shared" si="9"/>
        <v>0</v>
      </c>
      <c r="J100" s="320">
        <f t="shared" si="10"/>
        <v>3</v>
      </c>
      <c r="K100" s="320">
        <f t="shared" si="11"/>
        <v>0</v>
      </c>
      <c r="L100" s="320">
        <f t="shared" si="12"/>
        <v>3</v>
      </c>
      <c r="O100" s="250">
        <f>L95-I95</f>
        <v>3062.33633999998</v>
      </c>
    </row>
    <row r="101" spans="2:21" s="228" customFormat="1" ht="19.5" customHeight="1">
      <c r="B101" s="233" t="s">
        <v>726</v>
      </c>
      <c r="C101" s="230" t="s">
        <v>355</v>
      </c>
      <c r="D101" s="231">
        <v>20362628</v>
      </c>
      <c r="E101" s="236"/>
      <c r="F101" s="236"/>
      <c r="G101" s="231">
        <v>20362628</v>
      </c>
      <c r="H101" s="232"/>
      <c r="I101" s="320">
        <f t="shared" si="9"/>
        <v>20362.628</v>
      </c>
      <c r="J101" s="320">
        <f t="shared" si="10"/>
        <v>0</v>
      </c>
      <c r="K101" s="320">
        <f t="shared" si="11"/>
        <v>0</v>
      </c>
      <c r="L101" s="320">
        <f t="shared" si="12"/>
        <v>20362.628</v>
      </c>
      <c r="O101" s="250">
        <f>K118</f>
        <v>2916.31471</v>
      </c>
      <c r="P101" s="252"/>
      <c r="Q101" s="252"/>
      <c r="R101" s="252"/>
      <c r="S101" s="252"/>
      <c r="T101" s="252"/>
      <c r="U101" s="252"/>
    </row>
    <row r="102" spans="2:15" ht="19.5" customHeight="1">
      <c r="B102" s="234" t="s">
        <v>727</v>
      </c>
      <c r="C102" s="235" t="s">
        <v>166</v>
      </c>
      <c r="D102" s="236">
        <v>188228</v>
      </c>
      <c r="E102" s="236"/>
      <c r="F102" s="236"/>
      <c r="G102" s="236">
        <v>188228</v>
      </c>
      <c r="I102" s="320">
        <f t="shared" si="9"/>
        <v>188.228</v>
      </c>
      <c r="J102" s="320">
        <f t="shared" si="10"/>
        <v>0</v>
      </c>
      <c r="K102" s="320">
        <f t="shared" si="11"/>
        <v>0</v>
      </c>
      <c r="L102" s="320">
        <f t="shared" si="12"/>
        <v>188.228</v>
      </c>
      <c r="O102" s="252"/>
    </row>
    <row r="103" spans="2:15" ht="19.5" customHeight="1">
      <c r="B103" s="234" t="s">
        <v>728</v>
      </c>
      <c r="C103" s="235" t="s">
        <v>170</v>
      </c>
      <c r="D103" s="236">
        <v>105109400</v>
      </c>
      <c r="E103" s="236"/>
      <c r="F103" s="236"/>
      <c r="G103" s="236">
        <v>105109400</v>
      </c>
      <c r="I103" s="320">
        <f t="shared" si="9"/>
        <v>105109.4</v>
      </c>
      <c r="J103" s="320">
        <f t="shared" si="10"/>
        <v>0</v>
      </c>
      <c r="K103" s="320">
        <f t="shared" si="11"/>
        <v>0</v>
      </c>
      <c r="L103" s="320">
        <f t="shared" si="12"/>
        <v>105109.4</v>
      </c>
      <c r="O103" s="250">
        <f>SUM(O100:O102)</f>
        <v>5978.65104999998</v>
      </c>
    </row>
    <row r="104" spans="2:12" ht="19.5" customHeight="1">
      <c r="B104" s="234" t="s">
        <v>729</v>
      </c>
      <c r="C104" s="235" t="s">
        <v>356</v>
      </c>
      <c r="D104" s="236">
        <v>-84935000</v>
      </c>
      <c r="E104" s="236"/>
      <c r="F104" s="236"/>
      <c r="G104" s="236">
        <v>-84935000</v>
      </c>
      <c r="I104" s="320">
        <f aca="true" t="shared" si="13" ref="I104:I167">D104/1000</f>
        <v>-84935</v>
      </c>
      <c r="J104" s="320">
        <f aca="true" t="shared" si="14" ref="J104:J167">E104/1000</f>
        <v>0</v>
      </c>
      <c r="K104" s="320">
        <f aca="true" t="shared" si="15" ref="K104:K167">F104/1000</f>
        <v>0</v>
      </c>
      <c r="L104" s="320">
        <f aca="true" t="shared" si="16" ref="L104:L167">G104/1000</f>
        <v>-84935</v>
      </c>
    </row>
    <row r="105" spans="2:21" s="228" customFormat="1" ht="19.5" customHeight="1">
      <c r="B105" s="233" t="s">
        <v>730</v>
      </c>
      <c r="C105" s="230" t="s">
        <v>278</v>
      </c>
      <c r="D105" s="231">
        <v>53154199.17</v>
      </c>
      <c r="E105" s="231">
        <v>5017526.97</v>
      </c>
      <c r="F105" s="236">
        <v>259963.59</v>
      </c>
      <c r="G105" s="231">
        <v>57911762.55</v>
      </c>
      <c r="H105" s="232"/>
      <c r="I105" s="320">
        <f t="shared" si="13"/>
        <v>53154.19917</v>
      </c>
      <c r="J105" s="320">
        <f t="shared" si="14"/>
        <v>5017.52697</v>
      </c>
      <c r="K105" s="320">
        <f t="shared" si="15"/>
        <v>259.96359</v>
      </c>
      <c r="L105" s="320">
        <f t="shared" si="16"/>
        <v>57911.76255</v>
      </c>
      <c r="O105" s="252"/>
      <c r="P105" s="252"/>
      <c r="Q105" s="252"/>
      <c r="R105" s="252"/>
      <c r="S105" s="252"/>
      <c r="T105" s="252"/>
      <c r="U105" s="252"/>
    </row>
    <row r="106" spans="2:12" ht="19.5" customHeight="1">
      <c r="B106" s="234" t="s">
        <v>731</v>
      </c>
      <c r="C106" s="235" t="s">
        <v>357</v>
      </c>
      <c r="D106" s="236">
        <v>45323835.49</v>
      </c>
      <c r="E106" s="236">
        <v>1124551.73</v>
      </c>
      <c r="F106" s="236">
        <v>8800</v>
      </c>
      <c r="G106" s="236">
        <v>46439587.22</v>
      </c>
      <c r="I106" s="320">
        <f t="shared" si="13"/>
        <v>45323.835490000005</v>
      </c>
      <c r="J106" s="320">
        <f t="shared" si="14"/>
        <v>1124.55173</v>
      </c>
      <c r="K106" s="320">
        <f t="shared" si="15"/>
        <v>8.8</v>
      </c>
      <c r="L106" s="320">
        <f t="shared" si="16"/>
        <v>46439.58722</v>
      </c>
    </row>
    <row r="107" spans="2:12" ht="19.5" customHeight="1">
      <c r="B107" s="234" t="s">
        <v>732</v>
      </c>
      <c r="C107" s="235" t="s">
        <v>358</v>
      </c>
      <c r="D107" s="236">
        <v>607156.12</v>
      </c>
      <c r="E107" s="236">
        <v>2568296.97</v>
      </c>
      <c r="F107" s="236">
        <v>39492.89</v>
      </c>
      <c r="G107" s="236">
        <v>3135960.2</v>
      </c>
      <c r="I107" s="320">
        <f t="shared" si="13"/>
        <v>607.15612</v>
      </c>
      <c r="J107" s="320">
        <f t="shared" si="14"/>
        <v>2568.2969700000003</v>
      </c>
      <c r="K107" s="320">
        <f t="shared" si="15"/>
        <v>39.49289</v>
      </c>
      <c r="L107" s="320">
        <f t="shared" si="16"/>
        <v>3135.9602</v>
      </c>
    </row>
    <row r="108" spans="2:12" ht="19.5" customHeight="1">
      <c r="B108" s="234" t="s">
        <v>733</v>
      </c>
      <c r="C108" s="235" t="s">
        <v>359</v>
      </c>
      <c r="D108" s="236">
        <v>5150883.83</v>
      </c>
      <c r="E108" s="236">
        <v>1066145.7</v>
      </c>
      <c r="F108" s="236">
        <v>211670.7</v>
      </c>
      <c r="G108" s="236">
        <v>6005358.83</v>
      </c>
      <c r="I108" s="320">
        <f t="shared" si="13"/>
        <v>5150.88383</v>
      </c>
      <c r="J108" s="320">
        <f t="shared" si="14"/>
        <v>1066.1457</v>
      </c>
      <c r="K108" s="320">
        <f t="shared" si="15"/>
        <v>211.6707</v>
      </c>
      <c r="L108" s="320">
        <f t="shared" si="16"/>
        <v>6005.35883</v>
      </c>
    </row>
    <row r="109" spans="2:12" ht="19.5" customHeight="1">
      <c r="B109" s="234" t="s">
        <v>734</v>
      </c>
      <c r="C109" s="235" t="s">
        <v>360</v>
      </c>
      <c r="D109" s="236">
        <v>1144367.41</v>
      </c>
      <c r="E109" s="236"/>
      <c r="F109" s="236"/>
      <c r="G109" s="236">
        <v>1144367.41</v>
      </c>
      <c r="I109" s="320">
        <f t="shared" si="13"/>
        <v>1144.3674099999998</v>
      </c>
      <c r="J109" s="320">
        <f t="shared" si="14"/>
        <v>0</v>
      </c>
      <c r="K109" s="320">
        <f t="shared" si="15"/>
        <v>0</v>
      </c>
      <c r="L109" s="320">
        <f t="shared" si="16"/>
        <v>1144.3674099999998</v>
      </c>
    </row>
    <row r="110" spans="2:12" ht="19.5" customHeight="1">
      <c r="B110" s="234" t="s">
        <v>735</v>
      </c>
      <c r="C110" s="235" t="s">
        <v>361</v>
      </c>
      <c r="D110" s="236">
        <v>323794.92</v>
      </c>
      <c r="E110" s="236">
        <v>57950</v>
      </c>
      <c r="F110" s="236"/>
      <c r="G110" s="236">
        <v>381744.92</v>
      </c>
      <c r="I110" s="320">
        <f t="shared" si="13"/>
        <v>323.79492</v>
      </c>
      <c r="J110" s="320">
        <f t="shared" si="14"/>
        <v>57.95</v>
      </c>
      <c r="K110" s="320">
        <f t="shared" si="15"/>
        <v>0</v>
      </c>
      <c r="L110" s="320">
        <f t="shared" si="16"/>
        <v>381.74492</v>
      </c>
    </row>
    <row r="111" spans="2:12" ht="19.5" customHeight="1">
      <c r="B111" s="234" t="s">
        <v>736</v>
      </c>
      <c r="C111" s="235" t="s">
        <v>362</v>
      </c>
      <c r="D111" s="236">
        <v>604161.4</v>
      </c>
      <c r="E111" s="236">
        <v>200582.57</v>
      </c>
      <c r="F111" s="236"/>
      <c r="G111" s="236">
        <v>804743.97</v>
      </c>
      <c r="I111" s="320">
        <f t="shared" si="13"/>
        <v>604.1614000000001</v>
      </c>
      <c r="J111" s="320">
        <f t="shared" si="14"/>
        <v>200.58257</v>
      </c>
      <c r="K111" s="320">
        <f t="shared" si="15"/>
        <v>0</v>
      </c>
      <c r="L111" s="320">
        <f t="shared" si="16"/>
        <v>804.74397</v>
      </c>
    </row>
    <row r="112" spans="2:21" s="228" customFormat="1" ht="19.5" customHeight="1">
      <c r="B112" s="233" t="s">
        <v>737</v>
      </c>
      <c r="C112" s="230" t="s">
        <v>363</v>
      </c>
      <c r="D112" s="231">
        <v>0</v>
      </c>
      <c r="E112" s="231">
        <v>1589143.23</v>
      </c>
      <c r="F112" s="236">
        <v>367365.56</v>
      </c>
      <c r="G112" s="231">
        <v>1221777.67</v>
      </c>
      <c r="H112" s="232"/>
      <c r="I112" s="320">
        <f t="shared" si="13"/>
        <v>0</v>
      </c>
      <c r="J112" s="320">
        <f t="shared" si="14"/>
        <v>1589.14323</v>
      </c>
      <c r="K112" s="320">
        <f t="shared" si="15"/>
        <v>367.36556</v>
      </c>
      <c r="L112" s="320">
        <f t="shared" si="16"/>
        <v>1221.77767</v>
      </c>
      <c r="O112" s="252"/>
      <c r="P112" s="252"/>
      <c r="Q112" s="252"/>
      <c r="R112" s="252"/>
      <c r="S112" s="252"/>
      <c r="T112" s="252"/>
      <c r="U112" s="252"/>
    </row>
    <row r="113" spans="2:12" ht="19.5" customHeight="1">
      <c r="B113" s="234" t="s">
        <v>738</v>
      </c>
      <c r="C113" s="235" t="s">
        <v>364</v>
      </c>
      <c r="D113" s="236">
        <v>0</v>
      </c>
      <c r="E113" s="236">
        <v>14353.63</v>
      </c>
      <c r="F113" s="236"/>
      <c r="G113" s="236">
        <v>14353.63</v>
      </c>
      <c r="I113" s="320">
        <f t="shared" si="13"/>
        <v>0</v>
      </c>
      <c r="J113" s="320">
        <f t="shared" si="14"/>
        <v>14.353629999999999</v>
      </c>
      <c r="K113" s="320">
        <f t="shared" si="15"/>
        <v>0</v>
      </c>
      <c r="L113" s="320">
        <f t="shared" si="16"/>
        <v>14.353629999999999</v>
      </c>
    </row>
    <row r="114" spans="2:12" ht="19.5" customHeight="1">
      <c r="B114" s="234" t="s">
        <v>739</v>
      </c>
      <c r="C114" s="235" t="s">
        <v>365</v>
      </c>
      <c r="D114" s="236">
        <v>0</v>
      </c>
      <c r="E114" s="236">
        <v>166333.41</v>
      </c>
      <c r="F114" s="236"/>
      <c r="G114" s="236">
        <v>166333.41</v>
      </c>
      <c r="I114" s="320">
        <f t="shared" si="13"/>
        <v>0</v>
      </c>
      <c r="J114" s="320">
        <f t="shared" si="14"/>
        <v>166.33341000000001</v>
      </c>
      <c r="K114" s="320">
        <f t="shared" si="15"/>
        <v>0</v>
      </c>
      <c r="L114" s="320">
        <f t="shared" si="16"/>
        <v>166.33341000000001</v>
      </c>
    </row>
    <row r="115" spans="2:12" ht="19.5" customHeight="1">
      <c r="B115" s="234" t="s">
        <v>740</v>
      </c>
      <c r="C115" s="235" t="s">
        <v>366</v>
      </c>
      <c r="D115" s="236">
        <v>0</v>
      </c>
      <c r="E115" s="236">
        <v>953370.63</v>
      </c>
      <c r="F115" s="236">
        <v>348975.56</v>
      </c>
      <c r="G115" s="236">
        <v>604395.07</v>
      </c>
      <c r="I115" s="320">
        <f t="shared" si="13"/>
        <v>0</v>
      </c>
      <c r="J115" s="320">
        <f t="shared" si="14"/>
        <v>953.37063</v>
      </c>
      <c r="K115" s="320">
        <f t="shared" si="15"/>
        <v>348.97556</v>
      </c>
      <c r="L115" s="320">
        <f t="shared" si="16"/>
        <v>604.3950699999999</v>
      </c>
    </row>
    <row r="116" spans="2:12" ht="19.5" customHeight="1">
      <c r="B116" s="234" t="s">
        <v>741</v>
      </c>
      <c r="C116" s="235" t="s">
        <v>367</v>
      </c>
      <c r="D116" s="236">
        <v>0</v>
      </c>
      <c r="E116" s="236">
        <v>161334.85</v>
      </c>
      <c r="F116" s="236">
        <v>18390</v>
      </c>
      <c r="G116" s="236">
        <v>142944.85</v>
      </c>
      <c r="I116" s="320">
        <f t="shared" si="13"/>
        <v>0</v>
      </c>
      <c r="J116" s="320">
        <f t="shared" si="14"/>
        <v>161.33485000000002</v>
      </c>
      <c r="K116" s="320">
        <f t="shared" si="15"/>
        <v>18.39</v>
      </c>
      <c r="L116" s="320">
        <f t="shared" si="16"/>
        <v>142.94485</v>
      </c>
    </row>
    <row r="117" spans="2:12" ht="19.5" customHeight="1">
      <c r="B117" s="234" t="s">
        <v>742</v>
      </c>
      <c r="C117" s="235" t="s">
        <v>368</v>
      </c>
      <c r="D117" s="236">
        <v>0</v>
      </c>
      <c r="E117" s="236">
        <v>293750.71</v>
      </c>
      <c r="F117" s="236"/>
      <c r="G117" s="236">
        <v>293750.71</v>
      </c>
      <c r="I117" s="320">
        <f t="shared" si="13"/>
        <v>0</v>
      </c>
      <c r="J117" s="320">
        <f t="shared" si="14"/>
        <v>293.75071</v>
      </c>
      <c r="K117" s="320">
        <f t="shared" si="15"/>
        <v>0</v>
      </c>
      <c r="L117" s="320">
        <f t="shared" si="16"/>
        <v>293.75071</v>
      </c>
    </row>
    <row r="118" spans="2:21" s="228" customFormat="1" ht="19.5" customHeight="1">
      <c r="B118" s="233" t="s">
        <v>743</v>
      </c>
      <c r="C118" s="230" t="s">
        <v>369</v>
      </c>
      <c r="D118" s="231">
        <v>-5591087.66</v>
      </c>
      <c r="E118" s="236"/>
      <c r="F118" s="236">
        <v>2916314.71</v>
      </c>
      <c r="G118" s="231">
        <v>-8507402.37</v>
      </c>
      <c r="H118" s="232"/>
      <c r="I118" s="320">
        <f t="shared" si="13"/>
        <v>-5591.08766</v>
      </c>
      <c r="J118" s="320">
        <f t="shared" si="14"/>
        <v>0</v>
      </c>
      <c r="K118" s="320">
        <f t="shared" si="15"/>
        <v>2916.31471</v>
      </c>
      <c r="L118" s="320">
        <f t="shared" si="16"/>
        <v>-8507.40237</v>
      </c>
      <c r="O118" s="252"/>
      <c r="P118" s="252"/>
      <c r="Q118" s="252"/>
      <c r="R118" s="252"/>
      <c r="S118" s="252"/>
      <c r="T118" s="252"/>
      <c r="U118" s="252"/>
    </row>
    <row r="119" spans="2:12" ht="19.5" customHeight="1">
      <c r="B119" s="234" t="s">
        <v>744</v>
      </c>
      <c r="C119" s="235" t="s">
        <v>370</v>
      </c>
      <c r="D119" s="236">
        <v>-3718298.93</v>
      </c>
      <c r="E119" s="236"/>
      <c r="F119" s="236">
        <v>1812953.4</v>
      </c>
      <c r="G119" s="236">
        <v>-5531252.33</v>
      </c>
      <c r="I119" s="320">
        <f t="shared" si="13"/>
        <v>-3718.2989300000004</v>
      </c>
      <c r="J119" s="320">
        <f t="shared" si="14"/>
        <v>0</v>
      </c>
      <c r="K119" s="320">
        <f t="shared" si="15"/>
        <v>1812.9533999999999</v>
      </c>
      <c r="L119" s="320">
        <f t="shared" si="16"/>
        <v>-5531.25233</v>
      </c>
    </row>
    <row r="120" spans="2:12" ht="19.5" customHeight="1">
      <c r="B120" s="234" t="s">
        <v>745</v>
      </c>
      <c r="C120" s="235" t="s">
        <v>371</v>
      </c>
      <c r="D120" s="236">
        <v>-140587.56</v>
      </c>
      <c r="E120" s="236"/>
      <c r="F120" s="236">
        <v>41200.8</v>
      </c>
      <c r="G120" s="236">
        <v>-181788.36</v>
      </c>
      <c r="I120" s="320">
        <f t="shared" si="13"/>
        <v>-140.58756</v>
      </c>
      <c r="J120" s="320">
        <f t="shared" si="14"/>
        <v>0</v>
      </c>
      <c r="K120" s="320">
        <f t="shared" si="15"/>
        <v>41.2008</v>
      </c>
      <c r="L120" s="320">
        <f t="shared" si="16"/>
        <v>-181.78835999999998</v>
      </c>
    </row>
    <row r="121" spans="2:12" ht="19.5" customHeight="1">
      <c r="B121" s="234" t="s">
        <v>746</v>
      </c>
      <c r="C121" s="235" t="s">
        <v>372</v>
      </c>
      <c r="D121" s="236">
        <v>-1013370.88</v>
      </c>
      <c r="E121" s="236"/>
      <c r="F121" s="236">
        <v>614329.1</v>
      </c>
      <c r="G121" s="236">
        <v>-1627699.98</v>
      </c>
      <c r="I121" s="320">
        <f t="shared" si="13"/>
        <v>-1013.37088</v>
      </c>
      <c r="J121" s="320">
        <f t="shared" si="14"/>
        <v>0</v>
      </c>
      <c r="K121" s="320">
        <f t="shared" si="15"/>
        <v>614.3290999999999</v>
      </c>
      <c r="L121" s="320">
        <f t="shared" si="16"/>
        <v>-1627.6999799999999</v>
      </c>
    </row>
    <row r="122" spans="2:12" ht="19.5" customHeight="1">
      <c r="B122" s="234" t="s">
        <v>747</v>
      </c>
      <c r="C122" s="235" t="s">
        <v>373</v>
      </c>
      <c r="D122" s="236">
        <v>-530961.29</v>
      </c>
      <c r="E122" s="236"/>
      <c r="F122" s="236">
        <v>248014.53</v>
      </c>
      <c r="G122" s="236">
        <v>-778975.82</v>
      </c>
      <c r="I122" s="320">
        <f t="shared" si="13"/>
        <v>-530.9612900000001</v>
      </c>
      <c r="J122" s="320">
        <f t="shared" si="14"/>
        <v>0</v>
      </c>
      <c r="K122" s="320">
        <f t="shared" si="15"/>
        <v>248.01453</v>
      </c>
      <c r="L122" s="320">
        <f t="shared" si="16"/>
        <v>-778.97582</v>
      </c>
    </row>
    <row r="123" spans="2:12" ht="19.5" customHeight="1">
      <c r="B123" s="234" t="s">
        <v>748</v>
      </c>
      <c r="C123" s="235" t="s">
        <v>374</v>
      </c>
      <c r="D123" s="236">
        <v>0</v>
      </c>
      <c r="E123" s="236"/>
      <c r="F123" s="236">
        <v>25758.56</v>
      </c>
      <c r="G123" s="236">
        <v>-25758.56</v>
      </c>
      <c r="I123" s="320">
        <f t="shared" si="13"/>
        <v>0</v>
      </c>
      <c r="J123" s="320">
        <f t="shared" si="14"/>
        <v>0</v>
      </c>
      <c r="K123" s="320">
        <f t="shared" si="15"/>
        <v>25.758560000000003</v>
      </c>
      <c r="L123" s="320">
        <f t="shared" si="16"/>
        <v>-25.758560000000003</v>
      </c>
    </row>
    <row r="124" spans="2:12" ht="19.5" customHeight="1">
      <c r="B124" s="234" t="s">
        <v>749</v>
      </c>
      <c r="C124" s="235" t="s">
        <v>167</v>
      </c>
      <c r="D124" s="236">
        <v>-187869</v>
      </c>
      <c r="E124" s="236"/>
      <c r="F124" s="236">
        <v>174058.32</v>
      </c>
      <c r="G124" s="236">
        <v>-361927.32</v>
      </c>
      <c r="I124" s="320">
        <f t="shared" si="13"/>
        <v>-187.869</v>
      </c>
      <c r="J124" s="320">
        <f t="shared" si="14"/>
        <v>0</v>
      </c>
      <c r="K124" s="320">
        <f t="shared" si="15"/>
        <v>174.05832</v>
      </c>
      <c r="L124" s="320">
        <f t="shared" si="16"/>
        <v>-361.92732</v>
      </c>
    </row>
    <row r="125" spans="2:21" s="228" customFormat="1" ht="19.5" customHeight="1">
      <c r="B125" s="233" t="s">
        <v>750</v>
      </c>
      <c r="C125" s="254" t="s">
        <v>350</v>
      </c>
      <c r="D125" s="231">
        <v>625000</v>
      </c>
      <c r="E125" s="236"/>
      <c r="F125" s="236"/>
      <c r="G125" s="231">
        <v>625000</v>
      </c>
      <c r="H125" s="232"/>
      <c r="I125" s="321">
        <f t="shared" si="13"/>
        <v>625</v>
      </c>
      <c r="J125" s="320">
        <f t="shared" si="14"/>
        <v>0</v>
      </c>
      <c r="K125" s="320">
        <f t="shared" si="15"/>
        <v>0</v>
      </c>
      <c r="L125" s="321">
        <f t="shared" si="16"/>
        <v>625</v>
      </c>
      <c r="O125" s="252"/>
      <c r="P125" s="252"/>
      <c r="Q125" s="252"/>
      <c r="R125" s="252"/>
      <c r="S125" s="252"/>
      <c r="T125" s="252"/>
      <c r="U125" s="252"/>
    </row>
    <row r="126" spans="2:21" s="228" customFormat="1" ht="19.5" customHeight="1">
      <c r="B126" s="233" t="s">
        <v>751</v>
      </c>
      <c r="C126" s="230" t="s">
        <v>350</v>
      </c>
      <c r="D126" s="231">
        <v>625000</v>
      </c>
      <c r="E126" s="236"/>
      <c r="F126" s="236"/>
      <c r="G126" s="231">
        <v>625000</v>
      </c>
      <c r="H126" s="232"/>
      <c r="I126" s="320">
        <f t="shared" si="13"/>
        <v>625</v>
      </c>
      <c r="J126" s="320">
        <f t="shared" si="14"/>
        <v>0</v>
      </c>
      <c r="K126" s="320">
        <f t="shared" si="15"/>
        <v>0</v>
      </c>
      <c r="L126" s="320">
        <f t="shared" si="16"/>
        <v>625</v>
      </c>
      <c r="O126" s="252"/>
      <c r="P126" s="252"/>
      <c r="Q126" s="252"/>
      <c r="R126" s="252"/>
      <c r="S126" s="252"/>
      <c r="T126" s="252"/>
      <c r="U126" s="252"/>
    </row>
    <row r="127" spans="2:21" s="228" customFormat="1" ht="19.5" customHeight="1">
      <c r="B127" s="233" t="s">
        <v>752</v>
      </c>
      <c r="C127" s="230" t="s">
        <v>350</v>
      </c>
      <c r="D127" s="231">
        <v>625000</v>
      </c>
      <c r="E127" s="236"/>
      <c r="F127" s="236"/>
      <c r="G127" s="231">
        <v>625000</v>
      </c>
      <c r="H127" s="232"/>
      <c r="I127" s="320">
        <f t="shared" si="13"/>
        <v>625</v>
      </c>
      <c r="J127" s="320">
        <f t="shared" si="14"/>
        <v>0</v>
      </c>
      <c r="K127" s="320">
        <f t="shared" si="15"/>
        <v>0</v>
      </c>
      <c r="L127" s="320">
        <f t="shared" si="16"/>
        <v>625</v>
      </c>
      <c r="O127" s="252"/>
      <c r="P127" s="252"/>
      <c r="Q127" s="252"/>
      <c r="R127" s="252"/>
      <c r="S127" s="252"/>
      <c r="T127" s="252"/>
      <c r="U127" s="252"/>
    </row>
    <row r="128" spans="2:12" ht="19.5" customHeight="1">
      <c r="B128" s="234" t="s">
        <v>753</v>
      </c>
      <c r="C128" s="235" t="s">
        <v>168</v>
      </c>
      <c r="D128" s="236">
        <v>585022.08</v>
      </c>
      <c r="E128" s="236"/>
      <c r="F128" s="236"/>
      <c r="G128" s="236">
        <v>585022.08</v>
      </c>
      <c r="I128" s="320">
        <f t="shared" si="13"/>
        <v>585.02208</v>
      </c>
      <c r="J128" s="320">
        <f t="shared" si="14"/>
        <v>0</v>
      </c>
      <c r="K128" s="320">
        <f t="shared" si="15"/>
        <v>0</v>
      </c>
      <c r="L128" s="320">
        <f t="shared" si="16"/>
        <v>585.02208</v>
      </c>
    </row>
    <row r="129" spans="2:12" ht="19.5" customHeight="1">
      <c r="B129" s="234" t="s">
        <v>754</v>
      </c>
      <c r="C129" s="235" t="s">
        <v>169</v>
      </c>
      <c r="D129" s="236">
        <v>39977.92</v>
      </c>
      <c r="E129" s="236"/>
      <c r="F129" s="236"/>
      <c r="G129" s="236">
        <v>39977.92</v>
      </c>
      <c r="I129" s="320">
        <f t="shared" si="13"/>
        <v>39.97792</v>
      </c>
      <c r="J129" s="320">
        <f t="shared" si="14"/>
        <v>0</v>
      </c>
      <c r="K129" s="320">
        <f t="shared" si="15"/>
        <v>0</v>
      </c>
      <c r="L129" s="320">
        <f t="shared" si="16"/>
        <v>39.97792</v>
      </c>
    </row>
    <row r="130" spans="2:21" s="228" customFormat="1" ht="19.5" customHeight="1">
      <c r="B130" s="229" t="s">
        <v>755</v>
      </c>
      <c r="C130" s="230" t="s">
        <v>5</v>
      </c>
      <c r="D130" s="231">
        <v>-88379135.65</v>
      </c>
      <c r="E130" s="231">
        <v>96591599.65</v>
      </c>
      <c r="F130" s="231">
        <v>98941009.17</v>
      </c>
      <c r="G130" s="231">
        <v>-90728545.17</v>
      </c>
      <c r="H130" s="232"/>
      <c r="I130" s="320">
        <f t="shared" si="13"/>
        <v>-88379.13565000001</v>
      </c>
      <c r="J130" s="320">
        <f t="shared" si="14"/>
        <v>96591.59965</v>
      </c>
      <c r="K130" s="320">
        <f t="shared" si="15"/>
        <v>98941.00917</v>
      </c>
      <c r="L130" s="320">
        <f t="shared" si="16"/>
        <v>-90728.54517</v>
      </c>
      <c r="O130" s="252"/>
      <c r="P130" s="252"/>
      <c r="Q130" s="252"/>
      <c r="R130" s="252"/>
      <c r="S130" s="252"/>
      <c r="T130" s="252"/>
      <c r="U130" s="252"/>
    </row>
    <row r="131" spans="2:21" s="228" customFormat="1" ht="19.5" customHeight="1">
      <c r="B131" s="233" t="s">
        <v>756</v>
      </c>
      <c r="C131" s="230" t="s">
        <v>171</v>
      </c>
      <c r="D131" s="231">
        <v>-5464745.22</v>
      </c>
      <c r="E131" s="231">
        <v>62561048.74</v>
      </c>
      <c r="F131" s="231">
        <v>64925414.48</v>
      </c>
      <c r="G131" s="231">
        <v>-7829110.96</v>
      </c>
      <c r="H131" s="232"/>
      <c r="I131" s="320">
        <f t="shared" si="13"/>
        <v>-5464.74522</v>
      </c>
      <c r="J131" s="320">
        <f t="shared" si="14"/>
        <v>62561.048740000006</v>
      </c>
      <c r="K131" s="320">
        <f t="shared" si="15"/>
        <v>64925.41448</v>
      </c>
      <c r="L131" s="320">
        <f t="shared" si="16"/>
        <v>-7829.11096</v>
      </c>
      <c r="O131" s="252"/>
      <c r="P131" s="252"/>
      <c r="Q131" s="252"/>
      <c r="R131" s="252"/>
      <c r="S131" s="252"/>
      <c r="T131" s="252"/>
      <c r="U131" s="252"/>
    </row>
    <row r="132" spans="2:21" s="228" customFormat="1" ht="19.5" customHeight="1">
      <c r="B132" s="233" t="s">
        <v>757</v>
      </c>
      <c r="C132" s="230" t="s">
        <v>172</v>
      </c>
      <c r="D132" s="231">
        <v>-5464745.22</v>
      </c>
      <c r="E132" s="231">
        <v>62561048.74</v>
      </c>
      <c r="F132" s="231">
        <v>64925414.48</v>
      </c>
      <c r="G132" s="231">
        <v>-7829110.96</v>
      </c>
      <c r="H132" s="232"/>
      <c r="I132" s="320">
        <f t="shared" si="13"/>
        <v>-5464.74522</v>
      </c>
      <c r="J132" s="320">
        <f t="shared" si="14"/>
        <v>62561.048740000006</v>
      </c>
      <c r="K132" s="320">
        <f t="shared" si="15"/>
        <v>64925.41448</v>
      </c>
      <c r="L132" s="320">
        <f t="shared" si="16"/>
        <v>-7829.11096</v>
      </c>
      <c r="O132" s="252"/>
      <c r="P132" s="252"/>
      <c r="Q132" s="252"/>
      <c r="R132" s="252"/>
      <c r="S132" s="252"/>
      <c r="T132" s="252"/>
      <c r="U132" s="252"/>
    </row>
    <row r="133" spans="2:21" s="228" customFormat="1" ht="19.5" customHeight="1">
      <c r="B133" s="233" t="s">
        <v>758</v>
      </c>
      <c r="C133" s="230" t="s">
        <v>173</v>
      </c>
      <c r="D133" s="231">
        <v>-1964486.34</v>
      </c>
      <c r="E133" s="231">
        <v>30923387.88</v>
      </c>
      <c r="F133" s="231">
        <v>33247356.26</v>
      </c>
      <c r="G133" s="231">
        <v>-4288454.72</v>
      </c>
      <c r="H133" s="232"/>
      <c r="I133" s="321">
        <f t="shared" si="13"/>
        <v>-1964.4863400000002</v>
      </c>
      <c r="J133" s="320">
        <f t="shared" si="14"/>
        <v>30923.38788</v>
      </c>
      <c r="K133" s="320">
        <f t="shared" si="15"/>
        <v>33247.35626</v>
      </c>
      <c r="L133" s="321">
        <f t="shared" si="16"/>
        <v>-4288.45472</v>
      </c>
      <c r="O133" s="252">
        <f>L133-I133</f>
        <v>-2323.9683799999993</v>
      </c>
      <c r="P133" s="252"/>
      <c r="Q133" s="252"/>
      <c r="R133" s="252"/>
      <c r="S133" s="252"/>
      <c r="T133" s="252"/>
      <c r="U133" s="252"/>
    </row>
    <row r="134" spans="2:21" s="228" customFormat="1" ht="19.5" customHeight="1">
      <c r="B134" s="233" t="s">
        <v>759</v>
      </c>
      <c r="C134" s="230" t="s">
        <v>174</v>
      </c>
      <c r="D134" s="231">
        <v>-1412596.9</v>
      </c>
      <c r="E134" s="231">
        <v>23627444.8</v>
      </c>
      <c r="F134" s="231">
        <v>25758232.68</v>
      </c>
      <c r="G134" s="231">
        <v>-3543384.78</v>
      </c>
      <c r="H134" s="232"/>
      <c r="I134" s="320">
        <f t="shared" si="13"/>
        <v>-1412.5969</v>
      </c>
      <c r="J134" s="320">
        <f t="shared" si="14"/>
        <v>23627.4448</v>
      </c>
      <c r="K134" s="320">
        <f t="shared" si="15"/>
        <v>25758.23268</v>
      </c>
      <c r="L134" s="320">
        <f t="shared" si="16"/>
        <v>-3543.38478</v>
      </c>
      <c r="O134" s="252"/>
      <c r="P134" s="252"/>
      <c r="Q134" s="252"/>
      <c r="R134" s="252"/>
      <c r="S134" s="252"/>
      <c r="T134" s="252"/>
      <c r="U134" s="252"/>
    </row>
    <row r="135" spans="2:12" ht="19.5" customHeight="1">
      <c r="B135" s="234" t="s">
        <v>760</v>
      </c>
      <c r="C135" s="235" t="s">
        <v>175</v>
      </c>
      <c r="D135" s="236">
        <v>-1412596.9</v>
      </c>
      <c r="E135" s="236">
        <v>23627444.8</v>
      </c>
      <c r="F135" s="236">
        <v>25758232.68</v>
      </c>
      <c r="G135" s="236">
        <v>-3543384.78</v>
      </c>
      <c r="I135" s="320">
        <f t="shared" si="13"/>
        <v>-1412.5969</v>
      </c>
      <c r="J135" s="320">
        <f t="shared" si="14"/>
        <v>23627.4448</v>
      </c>
      <c r="K135" s="320">
        <f t="shared" si="15"/>
        <v>25758.23268</v>
      </c>
      <c r="L135" s="320">
        <f t="shared" si="16"/>
        <v>-3543.38478</v>
      </c>
    </row>
    <row r="136" spans="2:21" s="228" customFormat="1" ht="19.5" customHeight="1">
      <c r="B136" s="233" t="s">
        <v>761</v>
      </c>
      <c r="C136" s="230" t="s">
        <v>176</v>
      </c>
      <c r="D136" s="231">
        <v>-182779.73</v>
      </c>
      <c r="E136" s="236"/>
      <c r="F136" s="236"/>
      <c r="G136" s="231">
        <v>-182779.73</v>
      </c>
      <c r="H136" s="232"/>
      <c r="I136" s="320">
        <f t="shared" si="13"/>
        <v>-182.77973</v>
      </c>
      <c r="J136" s="320">
        <f t="shared" si="14"/>
        <v>0</v>
      </c>
      <c r="K136" s="320">
        <f t="shared" si="15"/>
        <v>0</v>
      </c>
      <c r="L136" s="320">
        <f t="shared" si="16"/>
        <v>-182.77973</v>
      </c>
      <c r="O136" s="252"/>
      <c r="P136" s="252"/>
      <c r="Q136" s="252"/>
      <c r="R136" s="252"/>
      <c r="S136" s="252"/>
      <c r="T136" s="252"/>
      <c r="U136" s="252"/>
    </row>
    <row r="137" spans="2:12" ht="19.5" customHeight="1">
      <c r="B137" s="234" t="s">
        <v>762</v>
      </c>
      <c r="C137" s="235" t="s">
        <v>177</v>
      </c>
      <c r="D137" s="236">
        <v>-182779.73</v>
      </c>
      <c r="E137" s="236"/>
      <c r="F137" s="236"/>
      <c r="G137" s="236">
        <v>-182779.73</v>
      </c>
      <c r="I137" s="320">
        <f t="shared" si="13"/>
        <v>-182.77973</v>
      </c>
      <c r="J137" s="320">
        <f t="shared" si="14"/>
        <v>0</v>
      </c>
      <c r="K137" s="320">
        <f t="shared" si="15"/>
        <v>0</v>
      </c>
      <c r="L137" s="320">
        <f t="shared" si="16"/>
        <v>-182.77973</v>
      </c>
    </row>
    <row r="138" spans="2:21" s="228" customFormat="1" ht="19.5" customHeight="1">
      <c r="B138" s="233" t="s">
        <v>763</v>
      </c>
      <c r="C138" s="230" t="s">
        <v>178</v>
      </c>
      <c r="D138" s="231">
        <v>-369109.71</v>
      </c>
      <c r="E138" s="231">
        <v>7295943.08</v>
      </c>
      <c r="F138" s="231">
        <v>7489123.58</v>
      </c>
      <c r="G138" s="231">
        <v>-562290.21</v>
      </c>
      <c r="H138" s="232"/>
      <c r="I138" s="320">
        <f t="shared" si="13"/>
        <v>-369.10971</v>
      </c>
      <c r="J138" s="320">
        <f t="shared" si="14"/>
        <v>7295.94308</v>
      </c>
      <c r="K138" s="320">
        <f t="shared" si="15"/>
        <v>7489.12358</v>
      </c>
      <c r="L138" s="320">
        <f t="shared" si="16"/>
        <v>-562.29021</v>
      </c>
      <c r="O138" s="252"/>
      <c r="P138" s="252"/>
      <c r="Q138" s="252"/>
      <c r="R138" s="252"/>
      <c r="S138" s="252"/>
      <c r="T138" s="252"/>
      <c r="U138" s="252"/>
    </row>
    <row r="139" spans="2:12" ht="19.5" customHeight="1">
      <c r="B139" s="234" t="s">
        <v>764</v>
      </c>
      <c r="C139" s="235" t="s">
        <v>179</v>
      </c>
      <c r="D139" s="236">
        <v>-74387.51</v>
      </c>
      <c r="E139" s="236">
        <v>4490917.37</v>
      </c>
      <c r="F139" s="236">
        <v>4610088.4</v>
      </c>
      <c r="G139" s="236">
        <v>-193558.54</v>
      </c>
      <c r="I139" s="320">
        <f t="shared" si="13"/>
        <v>-74.38750999999999</v>
      </c>
      <c r="J139" s="320">
        <f t="shared" si="14"/>
        <v>4490.91737</v>
      </c>
      <c r="K139" s="320">
        <f t="shared" si="15"/>
        <v>4610.088400000001</v>
      </c>
      <c r="L139" s="320">
        <f t="shared" si="16"/>
        <v>-193.55854000000002</v>
      </c>
    </row>
    <row r="140" spans="2:12" ht="19.5" customHeight="1">
      <c r="B140" s="234" t="s">
        <v>765</v>
      </c>
      <c r="C140" s="235" t="s">
        <v>180</v>
      </c>
      <c r="D140" s="236">
        <v>-10840.71</v>
      </c>
      <c r="E140" s="236">
        <v>28006.21</v>
      </c>
      <c r="F140" s="236">
        <v>28427.4</v>
      </c>
      <c r="G140" s="236">
        <v>-11261.9</v>
      </c>
      <c r="I140" s="320">
        <f t="shared" si="13"/>
        <v>-10.84071</v>
      </c>
      <c r="J140" s="320">
        <f t="shared" si="14"/>
        <v>28.00621</v>
      </c>
      <c r="K140" s="320">
        <f t="shared" si="15"/>
        <v>28.427400000000002</v>
      </c>
      <c r="L140" s="320">
        <f t="shared" si="16"/>
        <v>-11.261899999999999</v>
      </c>
    </row>
    <row r="141" spans="2:12" ht="19.5" customHeight="1">
      <c r="B141" s="234" t="s">
        <v>766</v>
      </c>
      <c r="C141" s="235" t="s">
        <v>375</v>
      </c>
      <c r="D141" s="236">
        <v>-283881.49</v>
      </c>
      <c r="E141" s="236">
        <v>2777019.5</v>
      </c>
      <c r="F141" s="236">
        <v>2850607.78</v>
      </c>
      <c r="G141" s="236">
        <v>-357469.77</v>
      </c>
      <c r="I141" s="320">
        <f t="shared" si="13"/>
        <v>-283.88149</v>
      </c>
      <c r="J141" s="320">
        <f t="shared" si="14"/>
        <v>2777.0195</v>
      </c>
      <c r="K141" s="320">
        <f t="shared" si="15"/>
        <v>2850.60778</v>
      </c>
      <c r="L141" s="320">
        <f t="shared" si="16"/>
        <v>-357.46977000000004</v>
      </c>
    </row>
    <row r="142" spans="2:21" s="228" customFormat="1" ht="19.5" customHeight="1">
      <c r="B142" s="253" t="s">
        <v>767</v>
      </c>
      <c r="C142" s="254" t="s">
        <v>181</v>
      </c>
      <c r="D142" s="255">
        <v>-2072255.01</v>
      </c>
      <c r="E142" s="255">
        <v>19779871.62</v>
      </c>
      <c r="F142" s="255">
        <v>19716025.3</v>
      </c>
      <c r="G142" s="255">
        <v>-2008408.69</v>
      </c>
      <c r="H142" s="256"/>
      <c r="I142" s="321">
        <f t="shared" si="13"/>
        <v>-2072.25501</v>
      </c>
      <c r="J142" s="321">
        <f t="shared" si="14"/>
        <v>19779.87162</v>
      </c>
      <c r="K142" s="321">
        <f t="shared" si="15"/>
        <v>19716.0253</v>
      </c>
      <c r="L142" s="321">
        <f t="shared" si="16"/>
        <v>-2008.40869</v>
      </c>
      <c r="O142" s="252">
        <f>L142+L168+L194</f>
        <v>-3232.42617</v>
      </c>
      <c r="P142" s="252"/>
      <c r="Q142" s="252"/>
      <c r="R142" s="252"/>
      <c r="S142" s="252"/>
      <c r="T142" s="252"/>
      <c r="U142" s="252"/>
    </row>
    <row r="143" spans="2:21" s="228" customFormat="1" ht="19.5" customHeight="1">
      <c r="B143" s="233" t="s">
        <v>768</v>
      </c>
      <c r="C143" s="230" t="s">
        <v>182</v>
      </c>
      <c r="D143" s="231">
        <v>-17335.32</v>
      </c>
      <c r="E143" s="231">
        <v>14885314.26</v>
      </c>
      <c r="F143" s="231">
        <v>14919483.47</v>
      </c>
      <c r="G143" s="231">
        <v>-51504.53</v>
      </c>
      <c r="H143" s="232"/>
      <c r="I143" s="320">
        <f t="shared" si="13"/>
        <v>-17.33532</v>
      </c>
      <c r="J143" s="320">
        <f t="shared" si="14"/>
        <v>14885.31426</v>
      </c>
      <c r="K143" s="320">
        <f t="shared" si="15"/>
        <v>14919.483470000001</v>
      </c>
      <c r="L143" s="320">
        <f t="shared" si="16"/>
        <v>-51.504529999999995</v>
      </c>
      <c r="O143" s="252">
        <f>I142+I168+I194</f>
        <v>-3289.0025299999998</v>
      </c>
      <c r="P143" s="252"/>
      <c r="Q143" s="252"/>
      <c r="R143" s="252"/>
      <c r="S143" s="252"/>
      <c r="T143" s="252"/>
      <c r="U143" s="252"/>
    </row>
    <row r="144" spans="2:15" ht="19.5" customHeight="1">
      <c r="B144" s="234" t="s">
        <v>769</v>
      </c>
      <c r="C144" s="235" t="s">
        <v>183</v>
      </c>
      <c r="D144" s="236">
        <v>0</v>
      </c>
      <c r="E144" s="236">
        <v>11455081.84</v>
      </c>
      <c r="F144" s="236">
        <v>11455081.84</v>
      </c>
      <c r="G144" s="236">
        <v>0</v>
      </c>
      <c r="I144" s="320">
        <f t="shared" si="13"/>
        <v>0</v>
      </c>
      <c r="J144" s="320">
        <f t="shared" si="14"/>
        <v>11455.08184</v>
      </c>
      <c r="K144" s="320">
        <f t="shared" si="15"/>
        <v>11455.08184</v>
      </c>
      <c r="L144" s="320">
        <f t="shared" si="16"/>
        <v>0</v>
      </c>
      <c r="O144" s="250">
        <f>O142-O143</f>
        <v>56.57635999999957</v>
      </c>
    </row>
    <row r="145" spans="2:12" ht="19.5" customHeight="1">
      <c r="B145" s="234" t="s">
        <v>770</v>
      </c>
      <c r="C145" s="235" t="s">
        <v>184</v>
      </c>
      <c r="D145" s="236">
        <v>0</v>
      </c>
      <c r="E145" s="236">
        <v>1246565.35</v>
      </c>
      <c r="F145" s="236">
        <v>1246565.35</v>
      </c>
      <c r="G145" s="236">
        <v>0</v>
      </c>
      <c r="I145" s="320">
        <f t="shared" si="13"/>
        <v>0</v>
      </c>
      <c r="J145" s="320">
        <f t="shared" si="14"/>
        <v>1246.56535</v>
      </c>
      <c r="K145" s="320">
        <f t="shared" si="15"/>
        <v>1246.56535</v>
      </c>
      <c r="L145" s="320">
        <f t="shared" si="16"/>
        <v>0</v>
      </c>
    </row>
    <row r="146" spans="2:12" ht="19.5" customHeight="1">
      <c r="B146" s="234" t="s">
        <v>771</v>
      </c>
      <c r="C146" s="235" t="s">
        <v>185</v>
      </c>
      <c r="D146" s="236">
        <v>-3777.89</v>
      </c>
      <c r="E146" s="236">
        <v>647825.96</v>
      </c>
      <c r="F146" s="236">
        <v>647715.59</v>
      </c>
      <c r="G146" s="236">
        <v>-3667.52</v>
      </c>
      <c r="I146" s="320">
        <f t="shared" si="13"/>
        <v>-3.7778899999999997</v>
      </c>
      <c r="J146" s="320">
        <f t="shared" si="14"/>
        <v>647.82596</v>
      </c>
      <c r="K146" s="320">
        <f t="shared" si="15"/>
        <v>647.71559</v>
      </c>
      <c r="L146" s="320">
        <f t="shared" si="16"/>
        <v>-3.66752</v>
      </c>
    </row>
    <row r="147" spans="2:12" ht="19.5" customHeight="1">
      <c r="B147" s="234" t="s">
        <v>772</v>
      </c>
      <c r="C147" s="235" t="s">
        <v>186</v>
      </c>
      <c r="D147" s="236">
        <v>0</v>
      </c>
      <c r="E147" s="236">
        <v>903351.32</v>
      </c>
      <c r="F147" s="236">
        <v>903351.32</v>
      </c>
      <c r="G147" s="236">
        <v>0</v>
      </c>
      <c r="I147" s="320">
        <f t="shared" si="13"/>
        <v>0</v>
      </c>
      <c r="J147" s="320">
        <f t="shared" si="14"/>
        <v>903.35132</v>
      </c>
      <c r="K147" s="320">
        <f t="shared" si="15"/>
        <v>903.35132</v>
      </c>
      <c r="L147" s="320">
        <f t="shared" si="16"/>
        <v>0</v>
      </c>
    </row>
    <row r="148" spans="2:12" ht="19.5" customHeight="1">
      <c r="B148" s="234" t="s">
        <v>773</v>
      </c>
      <c r="C148" s="235" t="s">
        <v>187</v>
      </c>
      <c r="D148" s="236">
        <v>-7662.08</v>
      </c>
      <c r="E148" s="236">
        <v>60480.42</v>
      </c>
      <c r="F148" s="236">
        <v>57831.97</v>
      </c>
      <c r="G148" s="236">
        <v>-5013.63</v>
      </c>
      <c r="I148" s="320">
        <f t="shared" si="13"/>
        <v>-7.66208</v>
      </c>
      <c r="J148" s="320">
        <f t="shared" si="14"/>
        <v>60.480419999999995</v>
      </c>
      <c r="K148" s="320">
        <f t="shared" si="15"/>
        <v>57.83197</v>
      </c>
      <c r="L148" s="320">
        <f t="shared" si="16"/>
        <v>-5.01363</v>
      </c>
    </row>
    <row r="149" spans="2:12" ht="19.5" customHeight="1">
      <c r="B149" s="234" t="s">
        <v>774</v>
      </c>
      <c r="C149" s="235" t="s">
        <v>188</v>
      </c>
      <c r="D149" s="236">
        <v>0</v>
      </c>
      <c r="E149" s="236">
        <v>313084.6</v>
      </c>
      <c r="F149" s="236">
        <v>313084.6</v>
      </c>
      <c r="G149" s="236">
        <v>0</v>
      </c>
      <c r="I149" s="320">
        <f t="shared" si="13"/>
        <v>0</v>
      </c>
      <c r="J149" s="320">
        <f t="shared" si="14"/>
        <v>313.08459999999997</v>
      </c>
      <c r="K149" s="320">
        <f t="shared" si="15"/>
        <v>313.08459999999997</v>
      </c>
      <c r="L149" s="320">
        <f t="shared" si="16"/>
        <v>0</v>
      </c>
    </row>
    <row r="150" spans="2:12" ht="19.5" customHeight="1">
      <c r="B150" s="234" t="s">
        <v>775</v>
      </c>
      <c r="C150" s="235" t="s">
        <v>189</v>
      </c>
      <c r="D150" s="236">
        <v>-5895.35</v>
      </c>
      <c r="E150" s="236">
        <v>250865.35</v>
      </c>
      <c r="F150" s="236">
        <v>287793.38</v>
      </c>
      <c r="G150" s="236">
        <v>-42823.38</v>
      </c>
      <c r="I150" s="320">
        <f t="shared" si="13"/>
        <v>-5.8953500000000005</v>
      </c>
      <c r="J150" s="320">
        <f t="shared" si="14"/>
        <v>250.86535</v>
      </c>
      <c r="K150" s="320">
        <f t="shared" si="15"/>
        <v>287.79338</v>
      </c>
      <c r="L150" s="320">
        <f t="shared" si="16"/>
        <v>-42.82338</v>
      </c>
    </row>
    <row r="151" spans="2:12" ht="19.5" customHeight="1">
      <c r="B151" s="234" t="s">
        <v>776</v>
      </c>
      <c r="C151" s="235" t="s">
        <v>376</v>
      </c>
      <c r="D151" s="236">
        <v>0</v>
      </c>
      <c r="E151" s="236">
        <v>8059.42</v>
      </c>
      <c r="F151" s="236">
        <v>8059.42</v>
      </c>
      <c r="G151" s="236">
        <v>0</v>
      </c>
      <c r="I151" s="320">
        <f t="shared" si="13"/>
        <v>0</v>
      </c>
      <c r="J151" s="320">
        <f t="shared" si="14"/>
        <v>8.05942</v>
      </c>
      <c r="K151" s="320">
        <f t="shared" si="15"/>
        <v>8.05942</v>
      </c>
      <c r="L151" s="320">
        <f t="shared" si="16"/>
        <v>0</v>
      </c>
    </row>
    <row r="152" spans="2:21" s="228" customFormat="1" ht="19.5" customHeight="1">
      <c r="B152" s="233" t="s">
        <v>777</v>
      </c>
      <c r="C152" s="230" t="s">
        <v>190</v>
      </c>
      <c r="D152" s="231">
        <v>-70488.54</v>
      </c>
      <c r="E152" s="231">
        <v>902049.35</v>
      </c>
      <c r="F152" s="231">
        <v>909769.99</v>
      </c>
      <c r="G152" s="231">
        <v>-78209.18</v>
      </c>
      <c r="H152" s="232"/>
      <c r="I152" s="320">
        <f t="shared" si="13"/>
        <v>-70.48854</v>
      </c>
      <c r="J152" s="320">
        <f t="shared" si="14"/>
        <v>902.04935</v>
      </c>
      <c r="K152" s="320">
        <f t="shared" si="15"/>
        <v>909.76999</v>
      </c>
      <c r="L152" s="320">
        <f t="shared" si="16"/>
        <v>-78.20917999999999</v>
      </c>
      <c r="O152" s="252"/>
      <c r="P152" s="252"/>
      <c r="Q152" s="252"/>
      <c r="R152" s="252"/>
      <c r="S152" s="252"/>
      <c r="T152" s="252"/>
      <c r="U152" s="252"/>
    </row>
    <row r="153" spans="2:12" ht="19.5" customHeight="1">
      <c r="B153" s="234" t="s">
        <v>778</v>
      </c>
      <c r="C153" s="235" t="s">
        <v>191</v>
      </c>
      <c r="D153" s="236">
        <v>-3322.71</v>
      </c>
      <c r="E153" s="236">
        <v>14094.2</v>
      </c>
      <c r="F153" s="236">
        <v>10771.49</v>
      </c>
      <c r="G153" s="236">
        <v>0</v>
      </c>
      <c r="I153" s="320">
        <f t="shared" si="13"/>
        <v>-3.32271</v>
      </c>
      <c r="J153" s="320">
        <f t="shared" si="14"/>
        <v>14.0942</v>
      </c>
      <c r="K153" s="320">
        <f t="shared" si="15"/>
        <v>10.77149</v>
      </c>
      <c r="L153" s="320">
        <f t="shared" si="16"/>
        <v>0</v>
      </c>
    </row>
    <row r="154" spans="2:12" ht="19.5" customHeight="1">
      <c r="B154" s="234" t="s">
        <v>779</v>
      </c>
      <c r="C154" s="235" t="s">
        <v>377</v>
      </c>
      <c r="D154" s="236">
        <v>-6841.35</v>
      </c>
      <c r="E154" s="236">
        <v>73365.4</v>
      </c>
      <c r="F154" s="236">
        <v>71335.87</v>
      </c>
      <c r="G154" s="236">
        <v>-4811.82</v>
      </c>
      <c r="I154" s="320">
        <f t="shared" si="13"/>
        <v>-6.84135</v>
      </c>
      <c r="J154" s="320">
        <f t="shared" si="14"/>
        <v>73.3654</v>
      </c>
      <c r="K154" s="320">
        <f t="shared" si="15"/>
        <v>71.33587</v>
      </c>
      <c r="L154" s="320">
        <f t="shared" si="16"/>
        <v>-4.81182</v>
      </c>
    </row>
    <row r="155" spans="2:12" ht="19.5" customHeight="1">
      <c r="B155" s="234" t="s">
        <v>780</v>
      </c>
      <c r="C155" s="235" t="s">
        <v>192</v>
      </c>
      <c r="D155" s="236">
        <v>-188.4</v>
      </c>
      <c r="E155" s="236">
        <v>3703.32</v>
      </c>
      <c r="F155" s="236">
        <v>3703.32</v>
      </c>
      <c r="G155" s="236">
        <v>-188.4</v>
      </c>
      <c r="I155" s="320">
        <f t="shared" si="13"/>
        <v>-0.1884</v>
      </c>
      <c r="J155" s="320">
        <f t="shared" si="14"/>
        <v>3.70332</v>
      </c>
      <c r="K155" s="320">
        <f t="shared" si="15"/>
        <v>3.70332</v>
      </c>
      <c r="L155" s="320">
        <f t="shared" si="16"/>
        <v>-0.1884</v>
      </c>
    </row>
    <row r="156" spans="2:12" ht="19.5" customHeight="1">
      <c r="B156" s="234" t="s">
        <v>781</v>
      </c>
      <c r="C156" s="235" t="s">
        <v>378</v>
      </c>
      <c r="D156" s="236">
        <v>-12068.29</v>
      </c>
      <c r="E156" s="236">
        <v>168285.33</v>
      </c>
      <c r="F156" s="236">
        <v>173961</v>
      </c>
      <c r="G156" s="236">
        <v>-17743.96</v>
      </c>
      <c r="I156" s="320">
        <f t="shared" si="13"/>
        <v>-12.068290000000001</v>
      </c>
      <c r="J156" s="320">
        <f t="shared" si="14"/>
        <v>168.28533</v>
      </c>
      <c r="K156" s="320">
        <f t="shared" si="15"/>
        <v>173.961</v>
      </c>
      <c r="L156" s="320">
        <f t="shared" si="16"/>
        <v>-17.743959999999998</v>
      </c>
    </row>
    <row r="157" spans="2:12" ht="19.5" customHeight="1">
      <c r="B157" s="234" t="s">
        <v>782</v>
      </c>
      <c r="C157" s="235" t="s">
        <v>379</v>
      </c>
      <c r="D157" s="236">
        <v>-48067.79</v>
      </c>
      <c r="E157" s="236">
        <v>642601.1</v>
      </c>
      <c r="F157" s="236">
        <v>649998.31</v>
      </c>
      <c r="G157" s="236">
        <v>-55465</v>
      </c>
      <c r="I157" s="320">
        <f t="shared" si="13"/>
        <v>-48.06779</v>
      </c>
      <c r="J157" s="320">
        <f t="shared" si="14"/>
        <v>642.6011</v>
      </c>
      <c r="K157" s="320">
        <f t="shared" si="15"/>
        <v>649.9983100000001</v>
      </c>
      <c r="L157" s="320">
        <f t="shared" si="16"/>
        <v>-55.465</v>
      </c>
    </row>
    <row r="158" spans="2:21" s="228" customFormat="1" ht="19.5" customHeight="1">
      <c r="B158" s="233" t="s">
        <v>783</v>
      </c>
      <c r="C158" s="230" t="s">
        <v>193</v>
      </c>
      <c r="D158" s="231">
        <v>-1984431.15</v>
      </c>
      <c r="E158" s="231">
        <v>3992508.01</v>
      </c>
      <c r="F158" s="231">
        <v>3886771.84</v>
      </c>
      <c r="G158" s="231">
        <v>-1878694.98</v>
      </c>
      <c r="H158" s="232"/>
      <c r="I158" s="320">
        <f t="shared" si="13"/>
        <v>-1984.43115</v>
      </c>
      <c r="J158" s="320">
        <f t="shared" si="14"/>
        <v>3992.5080099999996</v>
      </c>
      <c r="K158" s="320">
        <f t="shared" si="15"/>
        <v>3886.77184</v>
      </c>
      <c r="L158" s="320">
        <f t="shared" si="16"/>
        <v>-1878.69498</v>
      </c>
      <c r="O158" s="252"/>
      <c r="P158" s="252"/>
      <c r="Q158" s="252"/>
      <c r="R158" s="252"/>
      <c r="S158" s="252"/>
      <c r="T158" s="252"/>
      <c r="U158" s="252"/>
    </row>
    <row r="159" spans="2:12" ht="19.5" customHeight="1">
      <c r="B159" s="234" t="s">
        <v>784</v>
      </c>
      <c r="C159" s="235" t="s">
        <v>194</v>
      </c>
      <c r="D159" s="236">
        <v>-1465175.62</v>
      </c>
      <c r="E159" s="236">
        <v>1784468.3</v>
      </c>
      <c r="F159" s="236">
        <v>1716093.55</v>
      </c>
      <c r="G159" s="236">
        <v>-1396800.87</v>
      </c>
      <c r="I159" s="320">
        <f t="shared" si="13"/>
        <v>-1465.1756200000002</v>
      </c>
      <c r="J159" s="320">
        <f t="shared" si="14"/>
        <v>1784.4683</v>
      </c>
      <c r="K159" s="320">
        <f t="shared" si="15"/>
        <v>1716.09355</v>
      </c>
      <c r="L159" s="320">
        <f t="shared" si="16"/>
        <v>-1396.80087</v>
      </c>
    </row>
    <row r="160" spans="2:12" ht="19.5" customHeight="1">
      <c r="B160" s="234" t="s">
        <v>785</v>
      </c>
      <c r="C160" s="235" t="s">
        <v>195</v>
      </c>
      <c r="D160" s="236">
        <v>-387392.55</v>
      </c>
      <c r="E160" s="236">
        <v>437158.68</v>
      </c>
      <c r="F160" s="236">
        <v>405950.35</v>
      </c>
      <c r="G160" s="236">
        <v>-356184.22</v>
      </c>
      <c r="I160" s="320">
        <f t="shared" si="13"/>
        <v>-387.39254999999997</v>
      </c>
      <c r="J160" s="320">
        <f t="shared" si="14"/>
        <v>437.15868</v>
      </c>
      <c r="K160" s="320">
        <f t="shared" si="15"/>
        <v>405.95034999999996</v>
      </c>
      <c r="L160" s="320">
        <f t="shared" si="16"/>
        <v>-356.18422</v>
      </c>
    </row>
    <row r="161" spans="2:12" ht="19.5" customHeight="1">
      <c r="B161" s="234" t="s">
        <v>786</v>
      </c>
      <c r="C161" s="235" t="s">
        <v>196</v>
      </c>
      <c r="D161" s="236">
        <v>-117211.24</v>
      </c>
      <c r="E161" s="236">
        <v>136499.94</v>
      </c>
      <c r="F161" s="236">
        <v>131030.55</v>
      </c>
      <c r="G161" s="236">
        <v>-111741.85</v>
      </c>
      <c r="I161" s="320">
        <f t="shared" si="13"/>
        <v>-117.21124</v>
      </c>
      <c r="J161" s="320">
        <f t="shared" si="14"/>
        <v>136.49994</v>
      </c>
      <c r="K161" s="320">
        <f t="shared" si="15"/>
        <v>131.03055</v>
      </c>
      <c r="L161" s="320">
        <f t="shared" si="16"/>
        <v>-111.74185</v>
      </c>
    </row>
    <row r="162" spans="2:12" ht="19.5" customHeight="1">
      <c r="B162" s="234" t="s">
        <v>787</v>
      </c>
      <c r="C162" s="235" t="s">
        <v>197</v>
      </c>
      <c r="D162" s="236">
        <v>-14651.74</v>
      </c>
      <c r="E162" s="236">
        <v>17840.18</v>
      </c>
      <c r="F162" s="236">
        <v>17156.48</v>
      </c>
      <c r="G162" s="236">
        <v>-13968.04</v>
      </c>
      <c r="I162" s="320">
        <f t="shared" si="13"/>
        <v>-14.65174</v>
      </c>
      <c r="J162" s="320">
        <f t="shared" si="14"/>
        <v>17.84018</v>
      </c>
      <c r="K162" s="320">
        <f t="shared" si="15"/>
        <v>17.15648</v>
      </c>
      <c r="L162" s="320">
        <f t="shared" si="16"/>
        <v>-13.96804</v>
      </c>
    </row>
    <row r="163" spans="2:12" ht="19.5" customHeight="1">
      <c r="B163" s="234" t="s">
        <v>788</v>
      </c>
      <c r="C163" s="235" t="s">
        <v>198</v>
      </c>
      <c r="D163" s="236">
        <v>0</v>
      </c>
      <c r="E163" s="236">
        <v>1195099.49</v>
      </c>
      <c r="F163" s="236">
        <v>1195099.49</v>
      </c>
      <c r="G163" s="236">
        <v>0</v>
      </c>
      <c r="I163" s="320">
        <f t="shared" si="13"/>
        <v>0</v>
      </c>
      <c r="J163" s="320">
        <f t="shared" si="14"/>
        <v>1195.09949</v>
      </c>
      <c r="K163" s="320">
        <f t="shared" si="15"/>
        <v>1195.09949</v>
      </c>
      <c r="L163" s="320">
        <f t="shared" si="16"/>
        <v>0</v>
      </c>
    </row>
    <row r="164" spans="2:12" ht="19.5" customHeight="1">
      <c r="B164" s="234" t="s">
        <v>789</v>
      </c>
      <c r="C164" s="235" t="s">
        <v>199</v>
      </c>
      <c r="D164" s="236">
        <v>0</v>
      </c>
      <c r="E164" s="236">
        <v>303873.41</v>
      </c>
      <c r="F164" s="236">
        <v>303873.41</v>
      </c>
      <c r="G164" s="236">
        <v>0</v>
      </c>
      <c r="I164" s="320">
        <f t="shared" si="13"/>
        <v>0</v>
      </c>
      <c r="J164" s="320">
        <f t="shared" si="14"/>
        <v>303.87341</v>
      </c>
      <c r="K164" s="320">
        <f t="shared" si="15"/>
        <v>303.87341</v>
      </c>
      <c r="L164" s="320">
        <f t="shared" si="16"/>
        <v>0</v>
      </c>
    </row>
    <row r="165" spans="2:12" ht="19.5" customHeight="1">
      <c r="B165" s="234" t="s">
        <v>790</v>
      </c>
      <c r="C165" s="235" t="s">
        <v>200</v>
      </c>
      <c r="D165" s="236">
        <v>0</v>
      </c>
      <c r="E165" s="236">
        <v>104083.13</v>
      </c>
      <c r="F165" s="236">
        <v>104083.13</v>
      </c>
      <c r="G165" s="236">
        <v>0</v>
      </c>
      <c r="I165" s="320">
        <f t="shared" si="13"/>
        <v>0</v>
      </c>
      <c r="J165" s="320">
        <f t="shared" si="14"/>
        <v>104.08313000000001</v>
      </c>
      <c r="K165" s="320">
        <f t="shared" si="15"/>
        <v>104.08313000000001</v>
      </c>
      <c r="L165" s="320">
        <f t="shared" si="16"/>
        <v>0</v>
      </c>
    </row>
    <row r="166" spans="2:12" ht="19.5" customHeight="1">
      <c r="B166" s="234" t="s">
        <v>791</v>
      </c>
      <c r="C166" s="235" t="s">
        <v>201</v>
      </c>
      <c r="D166" s="236">
        <v>0</v>
      </c>
      <c r="E166" s="236">
        <v>12992.45</v>
      </c>
      <c r="F166" s="236">
        <v>12992.45</v>
      </c>
      <c r="G166" s="236">
        <v>0</v>
      </c>
      <c r="I166" s="320">
        <f t="shared" si="13"/>
        <v>0</v>
      </c>
      <c r="J166" s="320">
        <f t="shared" si="14"/>
        <v>12.992450000000002</v>
      </c>
      <c r="K166" s="320">
        <f t="shared" si="15"/>
        <v>12.992450000000002</v>
      </c>
      <c r="L166" s="320">
        <f t="shared" si="16"/>
        <v>0</v>
      </c>
    </row>
    <row r="167" spans="2:12" ht="19.5" customHeight="1">
      <c r="B167" s="234" t="s">
        <v>792</v>
      </c>
      <c r="C167" s="235" t="s">
        <v>202</v>
      </c>
      <c r="D167" s="236">
        <v>0</v>
      </c>
      <c r="E167" s="236">
        <v>492.43</v>
      </c>
      <c r="F167" s="236">
        <v>492.43</v>
      </c>
      <c r="G167" s="236">
        <v>0</v>
      </c>
      <c r="I167" s="320">
        <f t="shared" si="13"/>
        <v>0</v>
      </c>
      <c r="J167" s="320">
        <f t="shared" si="14"/>
        <v>0.49243000000000003</v>
      </c>
      <c r="K167" s="320">
        <f t="shared" si="15"/>
        <v>0.49243000000000003</v>
      </c>
      <c r="L167" s="320">
        <f t="shared" si="16"/>
        <v>0</v>
      </c>
    </row>
    <row r="168" spans="2:21" s="228" customFormat="1" ht="19.5" customHeight="1">
      <c r="B168" s="253" t="s">
        <v>793</v>
      </c>
      <c r="C168" s="254" t="s">
        <v>203</v>
      </c>
      <c r="D168" s="255">
        <v>-771126.28</v>
      </c>
      <c r="E168" s="255">
        <v>8512700.21</v>
      </c>
      <c r="F168" s="255">
        <v>8559519.05</v>
      </c>
      <c r="G168" s="255">
        <v>-817945.12</v>
      </c>
      <c r="H168" s="256"/>
      <c r="I168" s="321">
        <f aca="true" t="shared" si="17" ref="I168:I224">D168/1000</f>
        <v>-771.1262800000001</v>
      </c>
      <c r="J168" s="321">
        <f aca="true" t="shared" si="18" ref="J168:J224">E168/1000</f>
        <v>8512.70021</v>
      </c>
      <c r="K168" s="321">
        <f aca="true" t="shared" si="19" ref="K168:K224">F168/1000</f>
        <v>8559.51905</v>
      </c>
      <c r="L168" s="321">
        <f aca="true" t="shared" si="20" ref="L168:L224">G168/1000</f>
        <v>-817.94512</v>
      </c>
      <c r="O168" s="252"/>
      <c r="P168" s="252"/>
      <c r="Q168" s="252"/>
      <c r="R168" s="252"/>
      <c r="S168" s="252"/>
      <c r="T168" s="252"/>
      <c r="U168" s="252"/>
    </row>
    <row r="169" spans="2:21" s="228" customFormat="1" ht="19.5" customHeight="1">
      <c r="B169" s="233" t="s">
        <v>794</v>
      </c>
      <c r="C169" s="230" t="s">
        <v>204</v>
      </c>
      <c r="D169" s="231">
        <v>-19027.04</v>
      </c>
      <c r="E169" s="231">
        <v>271232.06</v>
      </c>
      <c r="F169" s="231">
        <v>333255.41</v>
      </c>
      <c r="G169" s="231">
        <v>-81050.39</v>
      </c>
      <c r="H169" s="232"/>
      <c r="I169" s="320">
        <f t="shared" si="17"/>
        <v>-19.02704</v>
      </c>
      <c r="J169" s="320">
        <f t="shared" si="18"/>
        <v>271.23206</v>
      </c>
      <c r="K169" s="320">
        <f t="shared" si="19"/>
        <v>333.25541</v>
      </c>
      <c r="L169" s="320">
        <f t="shared" si="20"/>
        <v>-81.05039</v>
      </c>
      <c r="O169" s="252"/>
      <c r="P169" s="252"/>
      <c r="Q169" s="252"/>
      <c r="R169" s="252"/>
      <c r="S169" s="252"/>
      <c r="T169" s="252"/>
      <c r="U169" s="252"/>
    </row>
    <row r="170" spans="2:12" ht="19.5" customHeight="1">
      <c r="B170" s="234" t="s">
        <v>795</v>
      </c>
      <c r="C170" s="235" t="s">
        <v>205</v>
      </c>
      <c r="D170" s="236">
        <v>-844.45</v>
      </c>
      <c r="E170" s="236">
        <v>131137.99</v>
      </c>
      <c r="F170" s="236">
        <v>162212.74</v>
      </c>
      <c r="G170" s="236">
        <v>-31919.2</v>
      </c>
      <c r="I170" s="320">
        <f t="shared" si="17"/>
        <v>-0.84445</v>
      </c>
      <c r="J170" s="320">
        <f t="shared" si="18"/>
        <v>131.13799</v>
      </c>
      <c r="K170" s="320">
        <f t="shared" si="19"/>
        <v>162.21274</v>
      </c>
      <c r="L170" s="320">
        <f t="shared" si="20"/>
        <v>-31.9192</v>
      </c>
    </row>
    <row r="171" spans="2:12" ht="19.5" customHeight="1">
      <c r="B171" s="234" t="s">
        <v>796</v>
      </c>
      <c r="C171" s="235" t="s">
        <v>206</v>
      </c>
      <c r="D171" s="236">
        <v>-2444.64</v>
      </c>
      <c r="E171" s="236">
        <v>46859.3</v>
      </c>
      <c r="F171" s="236">
        <v>64726.8</v>
      </c>
      <c r="G171" s="236">
        <v>-20312.14</v>
      </c>
      <c r="I171" s="320">
        <f t="shared" si="17"/>
        <v>-2.4446399999999997</v>
      </c>
      <c r="J171" s="320">
        <f t="shared" si="18"/>
        <v>46.859300000000005</v>
      </c>
      <c r="K171" s="320">
        <f t="shared" si="19"/>
        <v>64.7268</v>
      </c>
      <c r="L171" s="320">
        <f t="shared" si="20"/>
        <v>-20.31214</v>
      </c>
    </row>
    <row r="172" spans="2:12" ht="19.5" customHeight="1">
      <c r="B172" s="234" t="s">
        <v>797</v>
      </c>
      <c r="C172" s="235" t="s">
        <v>207</v>
      </c>
      <c r="D172" s="236">
        <v>-4467.97</v>
      </c>
      <c r="E172" s="236">
        <v>33298.87</v>
      </c>
      <c r="F172" s="236">
        <v>42955.07</v>
      </c>
      <c r="G172" s="236">
        <v>-14124.17</v>
      </c>
      <c r="I172" s="320">
        <f t="shared" si="17"/>
        <v>-4.46797</v>
      </c>
      <c r="J172" s="320">
        <f t="shared" si="18"/>
        <v>33.29887</v>
      </c>
      <c r="K172" s="320">
        <f t="shared" si="19"/>
        <v>42.95507</v>
      </c>
      <c r="L172" s="320">
        <f t="shared" si="20"/>
        <v>-14.12417</v>
      </c>
    </row>
    <row r="173" spans="2:12" ht="19.5" customHeight="1">
      <c r="B173" s="234" t="s">
        <v>798</v>
      </c>
      <c r="C173" s="235" t="s">
        <v>208</v>
      </c>
      <c r="D173" s="236">
        <v>-1951.98</v>
      </c>
      <c r="E173" s="236">
        <v>28397.51</v>
      </c>
      <c r="F173" s="236">
        <v>36214.98</v>
      </c>
      <c r="G173" s="236">
        <v>-9769.45</v>
      </c>
      <c r="I173" s="320">
        <f t="shared" si="17"/>
        <v>-1.95198</v>
      </c>
      <c r="J173" s="320">
        <f t="shared" si="18"/>
        <v>28.397509999999997</v>
      </c>
      <c r="K173" s="320">
        <f t="shared" si="19"/>
        <v>36.214980000000004</v>
      </c>
      <c r="L173" s="320">
        <f t="shared" si="20"/>
        <v>-9.76945</v>
      </c>
    </row>
    <row r="174" spans="2:12" ht="19.5" customHeight="1">
      <c r="B174" s="234" t="s">
        <v>799</v>
      </c>
      <c r="C174" s="235" t="s">
        <v>209</v>
      </c>
      <c r="D174" s="236">
        <v>-9318</v>
      </c>
      <c r="E174" s="236">
        <v>10643.02</v>
      </c>
      <c r="F174" s="236">
        <v>1325.02</v>
      </c>
      <c r="G174" s="236">
        <v>0</v>
      </c>
      <c r="I174" s="320">
        <f t="shared" si="17"/>
        <v>-9.318</v>
      </c>
      <c r="J174" s="320">
        <f t="shared" si="18"/>
        <v>10.64302</v>
      </c>
      <c r="K174" s="320">
        <f t="shared" si="19"/>
        <v>1.32502</v>
      </c>
      <c r="L174" s="320">
        <f t="shared" si="20"/>
        <v>0</v>
      </c>
    </row>
    <row r="175" spans="2:12" ht="19.5" customHeight="1">
      <c r="B175" s="234" t="s">
        <v>800</v>
      </c>
      <c r="C175" s="235" t="s">
        <v>210</v>
      </c>
      <c r="D175" s="236">
        <v>0</v>
      </c>
      <c r="E175" s="236">
        <v>20895.37</v>
      </c>
      <c r="F175" s="236">
        <v>25820.8</v>
      </c>
      <c r="G175" s="236">
        <v>-4925.43</v>
      </c>
      <c r="I175" s="320">
        <f t="shared" si="17"/>
        <v>0</v>
      </c>
      <c r="J175" s="320">
        <f t="shared" si="18"/>
        <v>20.89537</v>
      </c>
      <c r="K175" s="320">
        <f t="shared" si="19"/>
        <v>25.8208</v>
      </c>
      <c r="L175" s="320">
        <f t="shared" si="20"/>
        <v>-4.92543</v>
      </c>
    </row>
    <row r="176" spans="2:21" s="228" customFormat="1" ht="19.5" customHeight="1">
      <c r="B176" s="233" t="s">
        <v>801</v>
      </c>
      <c r="C176" s="230" t="s">
        <v>211</v>
      </c>
      <c r="D176" s="231">
        <v>-752099.24</v>
      </c>
      <c r="E176" s="231">
        <v>8241468.15</v>
      </c>
      <c r="F176" s="231">
        <v>8226263.64</v>
      </c>
      <c r="G176" s="231">
        <v>-736894.73</v>
      </c>
      <c r="H176" s="232"/>
      <c r="I176" s="320">
        <f t="shared" si="17"/>
        <v>-752.09924</v>
      </c>
      <c r="J176" s="320">
        <f t="shared" si="18"/>
        <v>8241.46815</v>
      </c>
      <c r="K176" s="320">
        <f t="shared" si="19"/>
        <v>8226.26364</v>
      </c>
      <c r="L176" s="320">
        <f t="shared" si="20"/>
        <v>-736.89473</v>
      </c>
      <c r="O176" s="252"/>
      <c r="P176" s="252"/>
      <c r="Q176" s="252"/>
      <c r="R176" s="252"/>
      <c r="S176" s="252"/>
      <c r="T176" s="252"/>
      <c r="U176" s="252"/>
    </row>
    <row r="177" spans="2:12" ht="19.5" customHeight="1">
      <c r="B177" s="234" t="s">
        <v>802</v>
      </c>
      <c r="C177" s="235" t="s">
        <v>212</v>
      </c>
      <c r="D177" s="236">
        <v>-148357.78</v>
      </c>
      <c r="E177" s="236">
        <v>1654622.78</v>
      </c>
      <c r="F177" s="236">
        <v>1652097.47</v>
      </c>
      <c r="G177" s="236">
        <v>-145832.47</v>
      </c>
      <c r="I177" s="320">
        <f t="shared" si="17"/>
        <v>-148.35778</v>
      </c>
      <c r="J177" s="320">
        <f t="shared" si="18"/>
        <v>1654.62278</v>
      </c>
      <c r="K177" s="320">
        <f t="shared" si="19"/>
        <v>1652.09747</v>
      </c>
      <c r="L177" s="320">
        <f t="shared" si="20"/>
        <v>-145.83247</v>
      </c>
    </row>
    <row r="178" spans="2:12" ht="19.5" customHeight="1">
      <c r="B178" s="234" t="s">
        <v>803</v>
      </c>
      <c r="C178" s="235" t="s">
        <v>213</v>
      </c>
      <c r="D178" s="236">
        <v>-450472.56</v>
      </c>
      <c r="E178" s="236">
        <v>5315198.49</v>
      </c>
      <c r="F178" s="236">
        <v>5308025.64</v>
      </c>
      <c r="G178" s="236">
        <v>-443299.71</v>
      </c>
      <c r="I178" s="320">
        <f t="shared" si="17"/>
        <v>-450.47256</v>
      </c>
      <c r="J178" s="320">
        <f t="shared" si="18"/>
        <v>5315.198490000001</v>
      </c>
      <c r="K178" s="320">
        <f t="shared" si="19"/>
        <v>5308.02564</v>
      </c>
      <c r="L178" s="320">
        <f t="shared" si="20"/>
        <v>-443.29971</v>
      </c>
    </row>
    <row r="179" spans="2:12" ht="19.5" customHeight="1">
      <c r="B179" s="234" t="s">
        <v>804</v>
      </c>
      <c r="C179" s="235" t="s">
        <v>214</v>
      </c>
      <c r="D179" s="236">
        <v>-23886.41</v>
      </c>
      <c r="E179" s="236">
        <v>153574.33</v>
      </c>
      <c r="F179" s="236">
        <v>153006.76</v>
      </c>
      <c r="G179" s="236">
        <v>-23318.84</v>
      </c>
      <c r="I179" s="320">
        <f t="shared" si="17"/>
        <v>-23.88641</v>
      </c>
      <c r="J179" s="320">
        <f t="shared" si="18"/>
        <v>153.57432999999997</v>
      </c>
      <c r="K179" s="320">
        <f t="shared" si="19"/>
        <v>153.00676</v>
      </c>
      <c r="L179" s="320">
        <f t="shared" si="20"/>
        <v>-23.31884</v>
      </c>
    </row>
    <row r="180" spans="2:12" ht="18.75" customHeight="1">
      <c r="B180" s="234" t="s">
        <v>805</v>
      </c>
      <c r="C180" s="235" t="s">
        <v>215</v>
      </c>
      <c r="D180" s="236">
        <v>-129382.49</v>
      </c>
      <c r="E180" s="236">
        <v>1118072.55</v>
      </c>
      <c r="F180" s="236">
        <v>1113133.77</v>
      </c>
      <c r="G180" s="236">
        <v>-124443.71</v>
      </c>
      <c r="I180" s="320">
        <f t="shared" si="17"/>
        <v>-129.38249000000002</v>
      </c>
      <c r="J180" s="320">
        <f t="shared" si="18"/>
        <v>1118.07255</v>
      </c>
      <c r="K180" s="320">
        <f t="shared" si="19"/>
        <v>1113.13377</v>
      </c>
      <c r="L180" s="320">
        <f t="shared" si="20"/>
        <v>-124.44371000000001</v>
      </c>
    </row>
    <row r="181" spans="2:21" s="228" customFormat="1" ht="19.5" customHeight="1">
      <c r="B181" s="253" t="s">
        <v>806</v>
      </c>
      <c r="C181" s="254" t="s">
        <v>216</v>
      </c>
      <c r="D181" s="231">
        <v>-211256.35</v>
      </c>
      <c r="E181" s="231">
        <v>3159307.52</v>
      </c>
      <c r="F181" s="231">
        <v>3256281.24</v>
      </c>
      <c r="G181" s="231">
        <v>-308230.07</v>
      </c>
      <c r="H181" s="232"/>
      <c r="I181" s="321">
        <f t="shared" si="17"/>
        <v>-211.25635</v>
      </c>
      <c r="J181" s="320">
        <f t="shared" si="18"/>
        <v>3159.30752</v>
      </c>
      <c r="K181" s="320">
        <f t="shared" si="19"/>
        <v>3256.2812400000003</v>
      </c>
      <c r="L181" s="321">
        <f t="shared" si="20"/>
        <v>-308.23007</v>
      </c>
      <c r="O181" s="252"/>
      <c r="P181" s="252"/>
      <c r="Q181" s="252"/>
      <c r="R181" s="252"/>
      <c r="S181" s="252"/>
      <c r="T181" s="252"/>
      <c r="U181" s="252"/>
    </row>
    <row r="182" spans="2:21" s="228" customFormat="1" ht="19.5" customHeight="1">
      <c r="B182" s="233" t="s">
        <v>807</v>
      </c>
      <c r="C182" s="230" t="s">
        <v>217</v>
      </c>
      <c r="D182" s="231">
        <v>-3130.97</v>
      </c>
      <c r="E182" s="231">
        <v>34740.43</v>
      </c>
      <c r="F182" s="231">
        <v>34349.94</v>
      </c>
      <c r="G182" s="231">
        <v>-2740.48</v>
      </c>
      <c r="H182" s="232"/>
      <c r="I182" s="320">
        <f t="shared" si="17"/>
        <v>-3.1309699999999996</v>
      </c>
      <c r="J182" s="320">
        <f t="shared" si="18"/>
        <v>34.74043</v>
      </c>
      <c r="K182" s="320">
        <f t="shared" si="19"/>
        <v>34.349940000000004</v>
      </c>
      <c r="L182" s="320">
        <f t="shared" si="20"/>
        <v>-2.74048</v>
      </c>
      <c r="O182" s="252"/>
      <c r="P182" s="252"/>
      <c r="Q182" s="252"/>
      <c r="R182" s="252"/>
      <c r="S182" s="252"/>
      <c r="T182" s="252"/>
      <c r="U182" s="252"/>
    </row>
    <row r="183" spans="2:12" ht="19.5" customHeight="1">
      <c r="B183" s="234" t="s">
        <v>808</v>
      </c>
      <c r="C183" s="235" t="s">
        <v>218</v>
      </c>
      <c r="D183" s="236">
        <v>-3130.97</v>
      </c>
      <c r="E183" s="236">
        <v>34740.43</v>
      </c>
      <c r="F183" s="236">
        <v>34349.94</v>
      </c>
      <c r="G183" s="236">
        <v>-2740.48</v>
      </c>
      <c r="I183" s="320">
        <f t="shared" si="17"/>
        <v>-3.1309699999999996</v>
      </c>
      <c r="J183" s="320">
        <f t="shared" si="18"/>
        <v>34.74043</v>
      </c>
      <c r="K183" s="320">
        <f t="shared" si="19"/>
        <v>34.349940000000004</v>
      </c>
      <c r="L183" s="320">
        <f t="shared" si="20"/>
        <v>-2.74048</v>
      </c>
    </row>
    <row r="184" spans="2:21" s="228" customFormat="1" ht="19.5" customHeight="1">
      <c r="B184" s="233" t="s">
        <v>809</v>
      </c>
      <c r="C184" s="230" t="s">
        <v>219</v>
      </c>
      <c r="D184" s="231">
        <v>-136878.22</v>
      </c>
      <c r="E184" s="236">
        <v>53597.33</v>
      </c>
      <c r="F184" s="231">
        <v>193230.65</v>
      </c>
      <c r="G184" s="231">
        <v>-276511.54</v>
      </c>
      <c r="H184" s="232"/>
      <c r="I184" s="320">
        <f t="shared" si="17"/>
        <v>-136.87822</v>
      </c>
      <c r="J184" s="320">
        <f t="shared" si="18"/>
        <v>53.59733</v>
      </c>
      <c r="K184" s="320">
        <f t="shared" si="19"/>
        <v>193.23065</v>
      </c>
      <c r="L184" s="320">
        <f t="shared" si="20"/>
        <v>-276.51153999999997</v>
      </c>
      <c r="O184" s="252"/>
      <c r="P184" s="252"/>
      <c r="Q184" s="252"/>
      <c r="R184" s="252"/>
      <c r="S184" s="252"/>
      <c r="T184" s="252"/>
      <c r="U184" s="252"/>
    </row>
    <row r="185" spans="2:12" ht="19.5" customHeight="1">
      <c r="B185" s="234" t="s">
        <v>810</v>
      </c>
      <c r="C185" s="235" t="s">
        <v>279</v>
      </c>
      <c r="D185" s="236">
        <v>0</v>
      </c>
      <c r="E185" s="236">
        <v>3597.33</v>
      </c>
      <c r="F185" s="236">
        <v>4789.56</v>
      </c>
      <c r="G185" s="236">
        <v>-1192.23</v>
      </c>
      <c r="I185" s="320">
        <f t="shared" si="17"/>
        <v>0</v>
      </c>
      <c r="J185" s="320">
        <f t="shared" si="18"/>
        <v>3.59733</v>
      </c>
      <c r="K185" s="320">
        <f t="shared" si="19"/>
        <v>4.789560000000001</v>
      </c>
      <c r="L185" s="320">
        <f t="shared" si="20"/>
        <v>-1.1922300000000001</v>
      </c>
    </row>
    <row r="186" spans="2:12" ht="19.5" customHeight="1">
      <c r="B186" s="234" t="s">
        <v>811</v>
      </c>
      <c r="C186" s="235" t="s">
        <v>220</v>
      </c>
      <c r="D186" s="236">
        <v>0</v>
      </c>
      <c r="E186" s="236">
        <v>50000</v>
      </c>
      <c r="F186" s="236">
        <v>50000</v>
      </c>
      <c r="G186" s="236">
        <v>0</v>
      </c>
      <c r="I186" s="320">
        <f t="shared" si="17"/>
        <v>0</v>
      </c>
      <c r="J186" s="320">
        <f t="shared" si="18"/>
        <v>50</v>
      </c>
      <c r="K186" s="320">
        <f t="shared" si="19"/>
        <v>50</v>
      </c>
      <c r="L186" s="320">
        <f t="shared" si="20"/>
        <v>0</v>
      </c>
    </row>
    <row r="187" spans="2:12" ht="19.5" customHeight="1">
      <c r="B187" s="234" t="s">
        <v>812</v>
      </c>
      <c r="C187" s="235" t="s">
        <v>221</v>
      </c>
      <c r="D187" s="236">
        <v>-25986</v>
      </c>
      <c r="E187" s="236"/>
      <c r="F187" s="236">
        <v>29634</v>
      </c>
      <c r="G187" s="236">
        <v>-55620</v>
      </c>
      <c r="I187" s="320">
        <f t="shared" si="17"/>
        <v>-25.986</v>
      </c>
      <c r="J187" s="320">
        <f t="shared" si="18"/>
        <v>0</v>
      </c>
      <c r="K187" s="320">
        <f t="shared" si="19"/>
        <v>29.634</v>
      </c>
      <c r="L187" s="320">
        <f t="shared" si="20"/>
        <v>-55.62</v>
      </c>
    </row>
    <row r="188" spans="2:12" ht="19.5" customHeight="1">
      <c r="B188" s="234" t="s">
        <v>813</v>
      </c>
      <c r="C188" s="235" t="s">
        <v>380</v>
      </c>
      <c r="D188" s="236">
        <v>-76272.26</v>
      </c>
      <c r="E188" s="236"/>
      <c r="F188" s="236"/>
      <c r="G188" s="236">
        <v>-76272.26</v>
      </c>
      <c r="I188" s="320">
        <f t="shared" si="17"/>
        <v>-76.27225999999999</v>
      </c>
      <c r="J188" s="320">
        <f t="shared" si="18"/>
        <v>0</v>
      </c>
      <c r="K188" s="320">
        <f t="shared" si="19"/>
        <v>0</v>
      </c>
      <c r="L188" s="320">
        <f t="shared" si="20"/>
        <v>-76.27225999999999</v>
      </c>
    </row>
    <row r="189" spans="2:12" ht="19.5" customHeight="1">
      <c r="B189" s="234" t="s">
        <v>814</v>
      </c>
      <c r="C189" s="235" t="s">
        <v>381</v>
      </c>
      <c r="D189" s="236">
        <v>-34619.96</v>
      </c>
      <c r="E189" s="236"/>
      <c r="F189" s="236">
        <v>108807.09</v>
      </c>
      <c r="G189" s="236">
        <v>-143427.05</v>
      </c>
      <c r="I189" s="320">
        <f t="shared" si="17"/>
        <v>-34.61996</v>
      </c>
      <c r="J189" s="320">
        <f t="shared" si="18"/>
        <v>0</v>
      </c>
      <c r="K189" s="320">
        <f t="shared" si="19"/>
        <v>108.80709</v>
      </c>
      <c r="L189" s="320">
        <f t="shared" si="20"/>
        <v>-143.42704999999998</v>
      </c>
    </row>
    <row r="190" spans="2:21" s="228" customFormat="1" ht="19.5" customHeight="1">
      <c r="B190" s="233" t="s">
        <v>815</v>
      </c>
      <c r="C190" s="230" t="s">
        <v>222</v>
      </c>
      <c r="D190" s="231">
        <v>-71247.16</v>
      </c>
      <c r="E190" s="231">
        <v>3070969.76</v>
      </c>
      <c r="F190" s="231">
        <v>3028700.65</v>
      </c>
      <c r="G190" s="231">
        <v>-28978.05</v>
      </c>
      <c r="H190" s="232"/>
      <c r="I190" s="320">
        <f t="shared" si="17"/>
        <v>-71.24716000000001</v>
      </c>
      <c r="J190" s="320">
        <f t="shared" si="18"/>
        <v>3070.96976</v>
      </c>
      <c r="K190" s="320">
        <f t="shared" si="19"/>
        <v>3028.7006499999998</v>
      </c>
      <c r="L190" s="320">
        <f t="shared" si="20"/>
        <v>-28.97805</v>
      </c>
      <c r="O190" s="252"/>
      <c r="P190" s="252"/>
      <c r="Q190" s="252"/>
      <c r="R190" s="252"/>
      <c r="S190" s="252"/>
      <c r="T190" s="252"/>
      <c r="U190" s="252"/>
    </row>
    <row r="191" spans="2:12" ht="19.5" customHeight="1">
      <c r="B191" s="234" t="s">
        <v>816</v>
      </c>
      <c r="C191" s="235" t="s">
        <v>223</v>
      </c>
      <c r="D191" s="236">
        <v>-9409.16</v>
      </c>
      <c r="E191" s="236">
        <v>3003430.78</v>
      </c>
      <c r="F191" s="236">
        <v>3022999.67</v>
      </c>
      <c r="G191" s="236">
        <v>-28978.05</v>
      </c>
      <c r="I191" s="320">
        <f t="shared" si="17"/>
        <v>-9.40916</v>
      </c>
      <c r="J191" s="320">
        <f t="shared" si="18"/>
        <v>3003.4307799999997</v>
      </c>
      <c r="K191" s="320">
        <f t="shared" si="19"/>
        <v>3022.99967</v>
      </c>
      <c r="L191" s="320">
        <f t="shared" si="20"/>
        <v>-28.97805</v>
      </c>
    </row>
    <row r="192" spans="2:12" ht="19.5" customHeight="1">
      <c r="B192" s="234" t="s">
        <v>817</v>
      </c>
      <c r="C192" s="235" t="s">
        <v>224</v>
      </c>
      <c r="D192" s="236">
        <v>-6124</v>
      </c>
      <c r="E192" s="236">
        <v>11824.98</v>
      </c>
      <c r="F192" s="236">
        <v>5700.98</v>
      </c>
      <c r="G192" s="236">
        <v>0</v>
      </c>
      <c r="I192" s="320">
        <f t="shared" si="17"/>
        <v>-6.124</v>
      </c>
      <c r="J192" s="320">
        <f t="shared" si="18"/>
        <v>11.82498</v>
      </c>
      <c r="K192" s="320">
        <f t="shared" si="19"/>
        <v>5.7009799999999995</v>
      </c>
      <c r="L192" s="320">
        <f t="shared" si="20"/>
        <v>0</v>
      </c>
    </row>
    <row r="193" spans="2:12" ht="19.5" customHeight="1">
      <c r="B193" s="234" t="s">
        <v>818</v>
      </c>
      <c r="C193" s="235" t="s">
        <v>382</v>
      </c>
      <c r="D193" s="236">
        <v>-55714</v>
      </c>
      <c r="E193" s="236">
        <v>55714</v>
      </c>
      <c r="F193" s="236"/>
      <c r="G193" s="236">
        <v>0</v>
      </c>
      <c r="I193" s="320">
        <f t="shared" si="17"/>
        <v>-55.714</v>
      </c>
      <c r="J193" s="320">
        <f t="shared" si="18"/>
        <v>55.714</v>
      </c>
      <c r="K193" s="320">
        <f t="shared" si="19"/>
        <v>0</v>
      </c>
      <c r="L193" s="320">
        <f t="shared" si="20"/>
        <v>0</v>
      </c>
    </row>
    <row r="194" spans="2:21" s="228" customFormat="1" ht="19.5" customHeight="1">
      <c r="B194" s="253" t="s">
        <v>819</v>
      </c>
      <c r="C194" s="254" t="s">
        <v>383</v>
      </c>
      <c r="D194" s="255">
        <v>-445621.24</v>
      </c>
      <c r="E194" s="257">
        <v>185781.51</v>
      </c>
      <c r="F194" s="257">
        <v>146232.63</v>
      </c>
      <c r="G194" s="255">
        <v>-406072.36</v>
      </c>
      <c r="H194" s="256"/>
      <c r="I194" s="321">
        <f t="shared" si="17"/>
        <v>-445.62124</v>
      </c>
      <c r="J194" s="321">
        <f t="shared" si="18"/>
        <v>185.78151</v>
      </c>
      <c r="K194" s="321">
        <f t="shared" si="19"/>
        <v>146.23263</v>
      </c>
      <c r="L194" s="321">
        <f t="shared" si="20"/>
        <v>-406.07236</v>
      </c>
      <c r="O194" s="252"/>
      <c r="P194" s="252"/>
      <c r="Q194" s="252"/>
      <c r="R194" s="252"/>
      <c r="S194" s="252"/>
      <c r="T194" s="252"/>
      <c r="U194" s="252"/>
    </row>
    <row r="195" spans="2:21" s="228" customFormat="1" ht="19.5" customHeight="1">
      <c r="B195" s="233" t="s">
        <v>820</v>
      </c>
      <c r="C195" s="230" t="s">
        <v>384</v>
      </c>
      <c r="D195" s="231">
        <v>-445621.24</v>
      </c>
      <c r="E195" s="236">
        <v>185781.51</v>
      </c>
      <c r="F195" s="236">
        <v>146232.63</v>
      </c>
      <c r="G195" s="231">
        <v>-406072.36</v>
      </c>
      <c r="H195" s="232"/>
      <c r="I195" s="320">
        <f t="shared" si="17"/>
        <v>-445.62124</v>
      </c>
      <c r="J195" s="320">
        <f t="shared" si="18"/>
        <v>185.78151</v>
      </c>
      <c r="K195" s="320">
        <f t="shared" si="19"/>
        <v>146.23263</v>
      </c>
      <c r="L195" s="320">
        <f t="shared" si="20"/>
        <v>-406.07236</v>
      </c>
      <c r="O195" s="252"/>
      <c r="P195" s="252"/>
      <c r="Q195" s="252"/>
      <c r="R195" s="252"/>
      <c r="S195" s="252"/>
      <c r="T195" s="252"/>
      <c r="U195" s="252"/>
    </row>
    <row r="196" spans="2:12" ht="19.5" customHeight="1">
      <c r="B196" s="234" t="s">
        <v>821</v>
      </c>
      <c r="C196" s="235" t="s">
        <v>385</v>
      </c>
      <c r="D196" s="236">
        <v>-445621.24</v>
      </c>
      <c r="E196" s="236">
        <v>185781.51</v>
      </c>
      <c r="F196" s="236">
        <v>146232.63</v>
      </c>
      <c r="G196" s="236">
        <v>-406072.36</v>
      </c>
      <c r="I196" s="320">
        <f t="shared" si="17"/>
        <v>-445.62124</v>
      </c>
      <c r="J196" s="320">
        <f t="shared" si="18"/>
        <v>185.78151</v>
      </c>
      <c r="K196" s="320">
        <f t="shared" si="19"/>
        <v>146.23263</v>
      </c>
      <c r="L196" s="320">
        <f t="shared" si="20"/>
        <v>-406.07236</v>
      </c>
    </row>
    <row r="197" spans="2:21" s="228" customFormat="1" ht="19.5" customHeight="1">
      <c r="B197" s="233" t="s">
        <v>822</v>
      </c>
      <c r="C197" s="230" t="s">
        <v>386</v>
      </c>
      <c r="D197" s="231">
        <v>-7378.7</v>
      </c>
      <c r="E197" s="231">
        <v>151983.8</v>
      </c>
      <c r="F197" s="231">
        <v>156557.41</v>
      </c>
      <c r="G197" s="231">
        <v>-11952.31</v>
      </c>
      <c r="H197" s="232"/>
      <c r="I197" s="320">
        <f t="shared" si="17"/>
        <v>-7.3787</v>
      </c>
      <c r="J197" s="320">
        <f t="shared" si="18"/>
        <v>151.9838</v>
      </c>
      <c r="K197" s="320">
        <f t="shared" si="19"/>
        <v>156.55741</v>
      </c>
      <c r="L197" s="320">
        <f t="shared" si="20"/>
        <v>-11.952309999999999</v>
      </c>
      <c r="O197" s="252"/>
      <c r="P197" s="252"/>
      <c r="Q197" s="252"/>
      <c r="R197" s="252"/>
      <c r="S197" s="252"/>
      <c r="T197" s="252"/>
      <c r="U197" s="252"/>
    </row>
    <row r="198" spans="2:21" s="228" customFormat="1" ht="19.5" customHeight="1">
      <c r="B198" s="233" t="s">
        <v>823</v>
      </c>
      <c r="C198" s="230" t="s">
        <v>387</v>
      </c>
      <c r="D198" s="231">
        <v>-7378.7</v>
      </c>
      <c r="E198" s="236">
        <v>151983.8</v>
      </c>
      <c r="F198" s="231">
        <v>156557.41</v>
      </c>
      <c r="G198" s="231">
        <v>-11952.31</v>
      </c>
      <c r="H198" s="232"/>
      <c r="I198" s="320">
        <f t="shared" si="17"/>
        <v>-7.3787</v>
      </c>
      <c r="J198" s="320">
        <f t="shared" si="18"/>
        <v>151.9838</v>
      </c>
      <c r="K198" s="320">
        <f t="shared" si="19"/>
        <v>156.55741</v>
      </c>
      <c r="L198" s="320">
        <f t="shared" si="20"/>
        <v>-11.952309999999999</v>
      </c>
      <c r="O198" s="252"/>
      <c r="P198" s="252"/>
      <c r="Q198" s="252"/>
      <c r="R198" s="252"/>
      <c r="S198" s="252"/>
      <c r="T198" s="252"/>
      <c r="U198" s="252"/>
    </row>
    <row r="199" spans="2:21" s="228" customFormat="1" ht="19.5" customHeight="1">
      <c r="B199" s="233" t="s">
        <v>824</v>
      </c>
      <c r="C199" s="230" t="s">
        <v>219</v>
      </c>
      <c r="D199" s="231">
        <v>-7378.7</v>
      </c>
      <c r="E199" s="236">
        <v>151983.8</v>
      </c>
      <c r="F199" s="231">
        <v>156557.41</v>
      </c>
      <c r="G199" s="231">
        <v>-11952.31</v>
      </c>
      <c r="H199" s="232"/>
      <c r="I199" s="320">
        <f t="shared" si="17"/>
        <v>-7.3787</v>
      </c>
      <c r="J199" s="320">
        <f t="shared" si="18"/>
        <v>151.9838</v>
      </c>
      <c r="K199" s="320">
        <f t="shared" si="19"/>
        <v>156.55741</v>
      </c>
      <c r="L199" s="320">
        <f t="shared" si="20"/>
        <v>-11.952309999999999</v>
      </c>
      <c r="O199" s="252"/>
      <c r="P199" s="252"/>
      <c r="Q199" s="252"/>
      <c r="R199" s="252"/>
      <c r="S199" s="252"/>
      <c r="T199" s="252"/>
      <c r="U199" s="252"/>
    </row>
    <row r="200" spans="2:21" s="228" customFormat="1" ht="19.5" customHeight="1">
      <c r="B200" s="253" t="s">
        <v>825</v>
      </c>
      <c r="C200" s="254" t="s">
        <v>388</v>
      </c>
      <c r="D200" s="255">
        <v>-7378.7</v>
      </c>
      <c r="E200" s="255">
        <v>151983.8</v>
      </c>
      <c r="F200" s="255">
        <v>156557.41</v>
      </c>
      <c r="G200" s="255">
        <v>-11952.31</v>
      </c>
      <c r="H200" s="232"/>
      <c r="I200" s="321">
        <f t="shared" si="17"/>
        <v>-7.3787</v>
      </c>
      <c r="J200" s="320">
        <f t="shared" si="18"/>
        <v>151.9838</v>
      </c>
      <c r="K200" s="320">
        <f t="shared" si="19"/>
        <v>156.55741</v>
      </c>
      <c r="L200" s="321">
        <f t="shared" si="20"/>
        <v>-11.952309999999999</v>
      </c>
      <c r="O200" s="252"/>
      <c r="P200" s="252"/>
      <c r="Q200" s="252"/>
      <c r="R200" s="252"/>
      <c r="S200" s="252"/>
      <c r="T200" s="252"/>
      <c r="U200" s="252"/>
    </row>
    <row r="201" spans="2:12" ht="19.5" customHeight="1">
      <c r="B201" s="234" t="s">
        <v>826</v>
      </c>
      <c r="C201" s="235" t="s">
        <v>389</v>
      </c>
      <c r="D201" s="236">
        <v>-7378.7</v>
      </c>
      <c r="E201" s="236">
        <v>151983.8</v>
      </c>
      <c r="F201" s="236">
        <v>156557.41</v>
      </c>
      <c r="G201" s="236">
        <v>-11952.31</v>
      </c>
      <c r="I201" s="320">
        <f t="shared" si="17"/>
        <v>-7.3787</v>
      </c>
      <c r="J201" s="320">
        <f t="shared" si="18"/>
        <v>151.9838</v>
      </c>
      <c r="K201" s="320">
        <f t="shared" si="19"/>
        <v>156.55741</v>
      </c>
      <c r="L201" s="320">
        <f t="shared" si="20"/>
        <v>-11.952309999999999</v>
      </c>
    </row>
    <row r="202" spans="2:21" s="228" customFormat="1" ht="19.5" customHeight="1">
      <c r="B202" s="233" t="s">
        <v>827</v>
      </c>
      <c r="C202" s="230" t="s">
        <v>225</v>
      </c>
      <c r="D202" s="231">
        <v>-82907011.73</v>
      </c>
      <c r="E202" s="236">
        <v>33878567.11</v>
      </c>
      <c r="F202" s="231">
        <v>33859037.28</v>
      </c>
      <c r="G202" s="231">
        <v>-82887481.9</v>
      </c>
      <c r="H202" s="232"/>
      <c r="I202" s="320">
        <f t="shared" si="17"/>
        <v>-82907.01173</v>
      </c>
      <c r="J202" s="320">
        <f t="shared" si="18"/>
        <v>33878.567109999996</v>
      </c>
      <c r="K202" s="320">
        <f t="shared" si="19"/>
        <v>33859.037280000004</v>
      </c>
      <c r="L202" s="320">
        <f t="shared" si="20"/>
        <v>-82887.4819</v>
      </c>
      <c r="O202" s="252">
        <f>L202+L220</f>
        <v>-88554.477</v>
      </c>
      <c r="P202" s="252"/>
      <c r="Q202" s="252"/>
      <c r="R202" s="252"/>
      <c r="S202" s="252"/>
      <c r="T202" s="252"/>
      <c r="U202" s="252"/>
    </row>
    <row r="203" spans="2:21" s="228" customFormat="1" ht="19.5" customHeight="1">
      <c r="B203" s="233" t="s">
        <v>828</v>
      </c>
      <c r="C203" s="230" t="s">
        <v>226</v>
      </c>
      <c r="D203" s="231">
        <v>-54569379.95</v>
      </c>
      <c r="E203" s="236">
        <v>2463426.79</v>
      </c>
      <c r="F203" s="231">
        <v>28841528.11</v>
      </c>
      <c r="G203" s="231">
        <v>-80947481.27</v>
      </c>
      <c r="H203" s="232"/>
      <c r="I203" s="320">
        <f t="shared" si="17"/>
        <v>-54569.37995</v>
      </c>
      <c r="J203" s="320">
        <f t="shared" si="18"/>
        <v>2463.42679</v>
      </c>
      <c r="K203" s="320">
        <f t="shared" si="19"/>
        <v>28841.52811</v>
      </c>
      <c r="L203" s="320">
        <f t="shared" si="20"/>
        <v>-80947.48126999999</v>
      </c>
      <c r="O203" s="252"/>
      <c r="P203" s="252"/>
      <c r="Q203" s="252"/>
      <c r="R203" s="252"/>
      <c r="S203" s="252"/>
      <c r="T203" s="252"/>
      <c r="U203" s="252"/>
    </row>
    <row r="204" spans="2:21" s="228" customFormat="1" ht="19.5" customHeight="1">
      <c r="B204" s="233" t="s">
        <v>829</v>
      </c>
      <c r="C204" s="230" t="s">
        <v>227</v>
      </c>
      <c r="D204" s="231">
        <v>-54569379.95</v>
      </c>
      <c r="E204" s="236">
        <v>2463426.79</v>
      </c>
      <c r="F204" s="231">
        <v>28841528.11</v>
      </c>
      <c r="G204" s="231">
        <v>-80947481.27</v>
      </c>
      <c r="H204" s="232"/>
      <c r="I204" s="320">
        <f t="shared" si="17"/>
        <v>-54569.37995</v>
      </c>
      <c r="J204" s="320">
        <f t="shared" si="18"/>
        <v>2463.42679</v>
      </c>
      <c r="K204" s="320">
        <f t="shared" si="19"/>
        <v>28841.52811</v>
      </c>
      <c r="L204" s="320">
        <f t="shared" si="20"/>
        <v>-80947.48126999999</v>
      </c>
      <c r="O204" s="252"/>
      <c r="P204" s="252"/>
      <c r="Q204" s="252"/>
      <c r="R204" s="252"/>
      <c r="S204" s="252"/>
      <c r="T204" s="252"/>
      <c r="U204" s="252"/>
    </row>
    <row r="205" spans="2:21" s="228" customFormat="1" ht="19.5" customHeight="1">
      <c r="B205" s="233" t="s">
        <v>830</v>
      </c>
      <c r="C205" s="230" t="s">
        <v>227</v>
      </c>
      <c r="D205" s="231">
        <v>-54569379.95</v>
      </c>
      <c r="E205" s="236">
        <v>2463426.79</v>
      </c>
      <c r="F205" s="231">
        <v>28841528.11</v>
      </c>
      <c r="G205" s="231">
        <v>-80947481.27</v>
      </c>
      <c r="H205" s="232"/>
      <c r="I205" s="320">
        <f t="shared" si="17"/>
        <v>-54569.37995</v>
      </c>
      <c r="J205" s="320">
        <f t="shared" si="18"/>
        <v>2463.42679</v>
      </c>
      <c r="K205" s="320">
        <f t="shared" si="19"/>
        <v>28841.52811</v>
      </c>
      <c r="L205" s="320">
        <f t="shared" si="20"/>
        <v>-80947.48126999999</v>
      </c>
      <c r="O205" s="252"/>
      <c r="P205" s="252"/>
      <c r="Q205" s="252"/>
      <c r="R205" s="252"/>
      <c r="S205" s="252"/>
      <c r="T205" s="252"/>
      <c r="U205" s="252"/>
    </row>
    <row r="206" spans="2:15" ht="19.5" customHeight="1">
      <c r="B206" s="234" t="s">
        <v>831</v>
      </c>
      <c r="C206" s="235" t="s">
        <v>228</v>
      </c>
      <c r="D206" s="236">
        <v>-123785758</v>
      </c>
      <c r="E206" s="236"/>
      <c r="F206" s="236">
        <v>28336487.58</v>
      </c>
      <c r="G206" s="236">
        <v>-152122245.58</v>
      </c>
      <c r="I206" s="320">
        <f t="shared" si="17"/>
        <v>-123785.758</v>
      </c>
      <c r="J206" s="320">
        <f t="shared" si="18"/>
        <v>0</v>
      </c>
      <c r="K206" s="320">
        <f t="shared" si="19"/>
        <v>28336.487579999997</v>
      </c>
      <c r="L206" s="321">
        <f t="shared" si="20"/>
        <v>-152122.24558000002</v>
      </c>
      <c r="O206" s="250">
        <f>L215+L220+L217</f>
        <v>-7606.995729999999</v>
      </c>
    </row>
    <row r="207" spans="2:15" ht="19.5" customHeight="1">
      <c r="B207" s="234" t="s">
        <v>832</v>
      </c>
      <c r="C207" s="235" t="s">
        <v>229</v>
      </c>
      <c r="D207" s="236">
        <v>-1702361.6</v>
      </c>
      <c r="E207" s="236"/>
      <c r="F207" s="236"/>
      <c r="G207" s="236">
        <v>-1702361.6</v>
      </c>
      <c r="I207" s="320">
        <f t="shared" si="17"/>
        <v>-1702.3616000000002</v>
      </c>
      <c r="J207" s="320">
        <f t="shared" si="18"/>
        <v>0</v>
      </c>
      <c r="K207" s="320">
        <f t="shared" si="19"/>
        <v>0</v>
      </c>
      <c r="L207" s="324">
        <f t="shared" si="20"/>
        <v>-1702.3616000000002</v>
      </c>
      <c r="O207" s="250">
        <v>14777</v>
      </c>
    </row>
    <row r="208" spans="2:15" ht="19.5" customHeight="1">
      <c r="B208" s="234" t="s">
        <v>833</v>
      </c>
      <c r="C208" s="235" t="s">
        <v>230</v>
      </c>
      <c r="D208" s="236">
        <v>-14777440.39</v>
      </c>
      <c r="E208" s="236">
        <v>1844014.95</v>
      </c>
      <c r="F208" s="236"/>
      <c r="G208" s="236">
        <v>-12933425.44</v>
      </c>
      <c r="I208" s="320">
        <f t="shared" si="17"/>
        <v>-14777.44039</v>
      </c>
      <c r="J208" s="320">
        <f t="shared" si="18"/>
        <v>1844.01495</v>
      </c>
      <c r="K208" s="320">
        <f t="shared" si="19"/>
        <v>0</v>
      </c>
      <c r="L208" s="325">
        <f t="shared" si="20"/>
        <v>-12933.425439999999</v>
      </c>
      <c r="O208" s="250">
        <f>SUM(O206:O207)</f>
        <v>7170.004270000001</v>
      </c>
    </row>
    <row r="209" spans="2:12" ht="19.5" customHeight="1">
      <c r="B209" s="234" t="s">
        <v>834</v>
      </c>
      <c r="C209" s="235" t="s">
        <v>231</v>
      </c>
      <c r="D209" s="236">
        <v>85200000</v>
      </c>
      <c r="E209" s="236"/>
      <c r="F209" s="236"/>
      <c r="G209" s="236">
        <v>85200000</v>
      </c>
      <c r="I209" s="320">
        <f t="shared" si="17"/>
        <v>85200</v>
      </c>
      <c r="J209" s="320">
        <f t="shared" si="18"/>
        <v>0</v>
      </c>
      <c r="K209" s="320">
        <f t="shared" si="19"/>
        <v>0</v>
      </c>
      <c r="L209" s="321">
        <f t="shared" si="20"/>
        <v>85200</v>
      </c>
    </row>
    <row r="210" spans="2:15" ht="19.5" customHeight="1">
      <c r="B210" s="234" t="s">
        <v>835</v>
      </c>
      <c r="C210" s="235" t="s">
        <v>232</v>
      </c>
      <c r="D210" s="236">
        <v>458056.27</v>
      </c>
      <c r="E210" s="236"/>
      <c r="F210" s="236"/>
      <c r="G210" s="236">
        <v>458056.27</v>
      </c>
      <c r="I210" s="320">
        <f t="shared" si="17"/>
        <v>458.05627000000004</v>
      </c>
      <c r="J210" s="320">
        <f t="shared" si="18"/>
        <v>0</v>
      </c>
      <c r="K210" s="320">
        <f t="shared" si="19"/>
        <v>0</v>
      </c>
      <c r="L210" s="321">
        <f t="shared" si="20"/>
        <v>458.05627000000004</v>
      </c>
      <c r="O210" s="250">
        <f>L208</f>
        <v>-12933.425439999999</v>
      </c>
    </row>
    <row r="211" spans="2:12" ht="19.5" customHeight="1">
      <c r="B211" s="234" t="s">
        <v>836</v>
      </c>
      <c r="C211" s="235" t="s">
        <v>233</v>
      </c>
      <c r="D211" s="236">
        <v>38123.77</v>
      </c>
      <c r="E211" s="236">
        <v>614990.16</v>
      </c>
      <c r="F211" s="236">
        <v>500618.85</v>
      </c>
      <c r="G211" s="236">
        <v>152495.08</v>
      </c>
      <c r="I211" s="320">
        <f t="shared" si="17"/>
        <v>38.12376999999999</v>
      </c>
      <c r="J211" s="320">
        <f t="shared" si="18"/>
        <v>614.9901600000001</v>
      </c>
      <c r="K211" s="320">
        <f t="shared" si="19"/>
        <v>500.61884999999995</v>
      </c>
      <c r="L211" s="321">
        <f t="shared" si="20"/>
        <v>152.49507999999997</v>
      </c>
    </row>
    <row r="212" spans="2:12" ht="19.5" customHeight="1">
      <c r="B212" s="234" t="s">
        <v>837</v>
      </c>
      <c r="C212" s="235" t="s">
        <v>234</v>
      </c>
      <c r="D212" s="236">
        <v>0</v>
      </c>
      <c r="E212" s="236">
        <v>4421.68</v>
      </c>
      <c r="F212" s="236">
        <v>4421.68</v>
      </c>
      <c r="G212" s="236">
        <v>0</v>
      </c>
      <c r="I212" s="320">
        <f t="shared" si="17"/>
        <v>0</v>
      </c>
      <c r="J212" s="320">
        <f t="shared" si="18"/>
        <v>4.42168</v>
      </c>
      <c r="K212" s="320">
        <f t="shared" si="19"/>
        <v>4.42168</v>
      </c>
      <c r="L212" s="320">
        <f t="shared" si="20"/>
        <v>0</v>
      </c>
    </row>
    <row r="213" spans="2:21" s="228" customFormat="1" ht="19.5" customHeight="1">
      <c r="B213" s="233" t="s">
        <v>838</v>
      </c>
      <c r="C213" s="230" t="s">
        <v>235</v>
      </c>
      <c r="D213" s="231">
        <v>-28337631.78</v>
      </c>
      <c r="E213" s="236">
        <v>31415140.32</v>
      </c>
      <c r="F213" s="236">
        <v>5017509.17</v>
      </c>
      <c r="G213" s="231">
        <v>-1940000.63</v>
      </c>
      <c r="H213" s="232"/>
      <c r="I213" s="320">
        <f t="shared" si="17"/>
        <v>-28337.63178</v>
      </c>
      <c r="J213" s="320">
        <f t="shared" si="18"/>
        <v>31415.14032</v>
      </c>
      <c r="K213" s="320">
        <f t="shared" si="19"/>
        <v>5017.50917</v>
      </c>
      <c r="L213" s="325">
        <f t="shared" si="20"/>
        <v>-1940.00063</v>
      </c>
      <c r="O213" s="252"/>
      <c r="P213" s="252"/>
      <c r="Q213" s="252"/>
      <c r="R213" s="252"/>
      <c r="S213" s="252"/>
      <c r="T213" s="252"/>
      <c r="U213" s="252"/>
    </row>
    <row r="214" spans="2:21" s="228" customFormat="1" ht="19.5" customHeight="1">
      <c r="B214" s="233" t="s">
        <v>839</v>
      </c>
      <c r="C214" s="230" t="s">
        <v>236</v>
      </c>
      <c r="D214" s="231">
        <v>-28337631.78</v>
      </c>
      <c r="E214" s="236">
        <v>31415140.32</v>
      </c>
      <c r="F214" s="236">
        <v>5017509.17</v>
      </c>
      <c r="G214" s="231">
        <v>-1940000.63</v>
      </c>
      <c r="H214" s="232"/>
      <c r="I214" s="320">
        <f t="shared" si="17"/>
        <v>-28337.63178</v>
      </c>
      <c r="J214" s="320">
        <f t="shared" si="18"/>
        <v>31415.14032</v>
      </c>
      <c r="K214" s="320">
        <f t="shared" si="19"/>
        <v>5017.50917</v>
      </c>
      <c r="L214" s="320">
        <f t="shared" si="20"/>
        <v>-1940.00063</v>
      </c>
      <c r="O214" s="252"/>
      <c r="P214" s="252"/>
      <c r="Q214" s="252"/>
      <c r="R214" s="252"/>
      <c r="S214" s="252"/>
      <c r="T214" s="252"/>
      <c r="U214" s="252"/>
    </row>
    <row r="215" spans="2:21" s="228" customFormat="1" ht="19.5" customHeight="1">
      <c r="B215" s="233" t="s">
        <v>840</v>
      </c>
      <c r="C215" s="230" t="s">
        <v>237</v>
      </c>
      <c r="D215" s="231">
        <v>-25603652.33</v>
      </c>
      <c r="E215" s="236">
        <v>28336487.58</v>
      </c>
      <c r="F215" s="236">
        <v>4576850.2</v>
      </c>
      <c r="G215" s="231">
        <v>-1844014.95</v>
      </c>
      <c r="H215" s="232"/>
      <c r="I215" s="320">
        <f t="shared" si="17"/>
        <v>-25603.652329999997</v>
      </c>
      <c r="J215" s="320">
        <f t="shared" si="18"/>
        <v>28336.487579999997</v>
      </c>
      <c r="K215" s="320">
        <f t="shared" si="19"/>
        <v>4576.8502</v>
      </c>
      <c r="L215" s="320">
        <f t="shared" si="20"/>
        <v>-1844.01495</v>
      </c>
      <c r="O215" s="252"/>
      <c r="P215" s="252"/>
      <c r="Q215" s="252"/>
      <c r="R215" s="252"/>
      <c r="S215" s="252"/>
      <c r="T215" s="252"/>
      <c r="U215" s="252"/>
    </row>
    <row r="216" spans="2:12" ht="19.5" customHeight="1">
      <c r="B216" s="234" t="s">
        <v>841</v>
      </c>
      <c r="C216" s="235" t="s">
        <v>237</v>
      </c>
      <c r="D216" s="236">
        <v>-25603652.33</v>
      </c>
      <c r="E216" s="236">
        <v>28336487.58</v>
      </c>
      <c r="F216" s="236">
        <v>4576850.2</v>
      </c>
      <c r="G216" s="236">
        <v>-1844014.95</v>
      </c>
      <c r="I216" s="320">
        <f t="shared" si="17"/>
        <v>-25603.652329999997</v>
      </c>
      <c r="J216" s="320">
        <f t="shared" si="18"/>
        <v>28336.487579999997</v>
      </c>
      <c r="K216" s="320">
        <f t="shared" si="19"/>
        <v>4576.8502</v>
      </c>
      <c r="L216" s="320">
        <f t="shared" si="20"/>
        <v>-1844.01495</v>
      </c>
    </row>
    <row r="217" spans="2:21" s="228" customFormat="1" ht="19.5" customHeight="1">
      <c r="B217" s="233" t="s">
        <v>842</v>
      </c>
      <c r="C217" s="230" t="s">
        <v>390</v>
      </c>
      <c r="D217" s="231">
        <v>-2733979.45</v>
      </c>
      <c r="E217" s="236">
        <v>3078652.74</v>
      </c>
      <c r="F217" s="236">
        <v>440658.97</v>
      </c>
      <c r="G217" s="231">
        <v>-95985.68</v>
      </c>
      <c r="H217" s="232"/>
      <c r="I217" s="320">
        <f t="shared" si="17"/>
        <v>-2733.9794500000003</v>
      </c>
      <c r="J217" s="320">
        <f t="shared" si="18"/>
        <v>3078.6527400000004</v>
      </c>
      <c r="K217" s="320">
        <f t="shared" si="19"/>
        <v>440.65896999999995</v>
      </c>
      <c r="L217" s="320">
        <f t="shared" si="20"/>
        <v>-95.98567999999999</v>
      </c>
      <c r="O217" s="252"/>
      <c r="P217" s="252"/>
      <c r="Q217" s="252"/>
      <c r="R217" s="252"/>
      <c r="S217" s="252"/>
      <c r="T217" s="252"/>
      <c r="U217" s="252"/>
    </row>
    <row r="218" spans="2:12" ht="19.5" customHeight="1">
      <c r="B218" s="234" t="s">
        <v>843</v>
      </c>
      <c r="C218" s="235" t="s">
        <v>391</v>
      </c>
      <c r="D218" s="236">
        <v>-3040406.05</v>
      </c>
      <c r="E218" s="236">
        <v>3040406.05</v>
      </c>
      <c r="F218" s="236"/>
      <c r="G218" s="236">
        <v>0</v>
      </c>
      <c r="I218" s="320">
        <f t="shared" si="17"/>
        <v>-3040.4060499999996</v>
      </c>
      <c r="J218" s="320">
        <f t="shared" si="18"/>
        <v>3040.4060499999996</v>
      </c>
      <c r="K218" s="320">
        <f t="shared" si="19"/>
        <v>0</v>
      </c>
      <c r="L218" s="320">
        <f t="shared" si="20"/>
        <v>0</v>
      </c>
    </row>
    <row r="219" spans="2:15" ht="19.5" customHeight="1">
      <c r="B219" s="234" t="s">
        <v>844</v>
      </c>
      <c r="C219" s="235" t="s">
        <v>392</v>
      </c>
      <c r="D219" s="236">
        <v>306426.6</v>
      </c>
      <c r="E219" s="236">
        <v>38246.69</v>
      </c>
      <c r="F219" s="236">
        <v>440658.97</v>
      </c>
      <c r="G219" s="236">
        <v>-95985.68</v>
      </c>
      <c r="I219" s="320">
        <f t="shared" si="17"/>
        <v>306.42659999999995</v>
      </c>
      <c r="J219" s="320">
        <f t="shared" si="18"/>
        <v>38.24669</v>
      </c>
      <c r="K219" s="320">
        <f t="shared" si="19"/>
        <v>440.65896999999995</v>
      </c>
      <c r="L219" s="320">
        <f t="shared" si="20"/>
        <v>-95.98567999999999</v>
      </c>
      <c r="O219" s="250">
        <f>L219+L220</f>
        <v>-5762.980779999999</v>
      </c>
    </row>
    <row r="220" spans="2:21" s="228" customFormat="1" ht="19.5" customHeight="1">
      <c r="B220" s="229" t="s">
        <v>845</v>
      </c>
      <c r="C220" s="230" t="s">
        <v>238</v>
      </c>
      <c r="D220" s="231">
        <v>0</v>
      </c>
      <c r="E220" s="231">
        <v>62831740.42</v>
      </c>
      <c r="F220" s="231">
        <v>68498735.52</v>
      </c>
      <c r="G220" s="231">
        <v>-5666995.1</v>
      </c>
      <c r="H220" s="232"/>
      <c r="I220" s="320">
        <f t="shared" si="17"/>
        <v>0</v>
      </c>
      <c r="J220" s="320">
        <f t="shared" si="18"/>
        <v>62831.74042</v>
      </c>
      <c r="K220" s="320">
        <f t="shared" si="19"/>
        <v>68498.73552</v>
      </c>
      <c r="L220" s="320">
        <f t="shared" si="20"/>
        <v>-5666.995099999999</v>
      </c>
      <c r="O220" s="252">
        <v>-5763</v>
      </c>
      <c r="P220" s="252"/>
      <c r="Q220" s="252"/>
      <c r="R220" s="252"/>
      <c r="S220" s="252"/>
      <c r="T220" s="252"/>
      <c r="U220" s="252"/>
    </row>
    <row r="221" spans="2:21" s="228" customFormat="1" ht="19.5" customHeight="1">
      <c r="B221" s="233" t="s">
        <v>846</v>
      </c>
      <c r="C221" s="230" t="s">
        <v>239</v>
      </c>
      <c r="D221" s="231">
        <v>0</v>
      </c>
      <c r="E221" s="231">
        <v>12605784.7</v>
      </c>
      <c r="F221" s="231">
        <v>60294707.66</v>
      </c>
      <c r="G221" s="231">
        <v>-47688922.96</v>
      </c>
      <c r="H221" s="232"/>
      <c r="I221" s="320">
        <f t="shared" si="17"/>
        <v>0</v>
      </c>
      <c r="J221" s="320">
        <f t="shared" si="18"/>
        <v>12605.7847</v>
      </c>
      <c r="K221" s="320">
        <f t="shared" si="19"/>
        <v>60294.70766</v>
      </c>
      <c r="L221" s="320">
        <f t="shared" si="20"/>
        <v>-47688.92296</v>
      </c>
      <c r="O221" s="252"/>
      <c r="P221" s="252"/>
      <c r="Q221" s="252"/>
      <c r="R221" s="252"/>
      <c r="S221" s="252"/>
      <c r="T221" s="252"/>
      <c r="U221" s="252"/>
    </row>
    <row r="222" spans="2:21" s="228" customFormat="1" ht="19.5" customHeight="1">
      <c r="B222" s="233" t="s">
        <v>847</v>
      </c>
      <c r="C222" s="230" t="s">
        <v>240</v>
      </c>
      <c r="D222" s="231">
        <v>0</v>
      </c>
      <c r="E222" s="231">
        <v>7065298.9</v>
      </c>
      <c r="F222" s="231">
        <v>50146450.29</v>
      </c>
      <c r="G222" s="231">
        <v>-43081151.39</v>
      </c>
      <c r="H222" s="232"/>
      <c r="I222" s="320">
        <f t="shared" si="17"/>
        <v>0</v>
      </c>
      <c r="J222" s="320">
        <f t="shared" si="18"/>
        <v>7065.298900000001</v>
      </c>
      <c r="K222" s="320">
        <f t="shared" si="19"/>
        <v>50146.45029</v>
      </c>
      <c r="L222" s="320">
        <f t="shared" si="20"/>
        <v>-43081.15139</v>
      </c>
      <c r="O222" s="252"/>
      <c r="P222" s="252"/>
      <c r="Q222" s="252"/>
      <c r="R222" s="252"/>
      <c r="S222" s="252"/>
      <c r="T222" s="252"/>
      <c r="U222" s="252"/>
    </row>
    <row r="223" spans="2:21" s="228" customFormat="1" ht="19.5" customHeight="1">
      <c r="B223" s="253" t="s">
        <v>848</v>
      </c>
      <c r="C223" s="254" t="s">
        <v>393</v>
      </c>
      <c r="D223" s="231">
        <v>0</v>
      </c>
      <c r="E223" s="231">
        <v>42969.22</v>
      </c>
      <c r="F223" s="231">
        <v>31583472.21</v>
      </c>
      <c r="G223" s="231">
        <v>-31540502.99</v>
      </c>
      <c r="H223" s="232"/>
      <c r="I223" s="320">
        <f t="shared" si="17"/>
        <v>0</v>
      </c>
      <c r="J223" s="320">
        <f t="shared" si="18"/>
        <v>42.96922</v>
      </c>
      <c r="K223" s="320">
        <f t="shared" si="19"/>
        <v>31583.47221</v>
      </c>
      <c r="L223" s="321">
        <f t="shared" si="20"/>
        <v>-31540.502989999997</v>
      </c>
      <c r="O223" s="252"/>
      <c r="P223" s="252"/>
      <c r="Q223" s="252"/>
      <c r="R223" s="252"/>
      <c r="S223" s="252"/>
      <c r="T223" s="252"/>
      <c r="U223" s="252"/>
    </row>
    <row r="224" spans="2:21" s="228" customFormat="1" ht="19.5" customHeight="1">
      <c r="B224" s="233" t="s">
        <v>849</v>
      </c>
      <c r="C224" s="230" t="s">
        <v>394</v>
      </c>
      <c r="D224" s="231">
        <v>0</v>
      </c>
      <c r="E224" s="231">
        <v>18248.52</v>
      </c>
      <c r="F224" s="231">
        <v>27032630.37</v>
      </c>
      <c r="G224" s="231">
        <v>-27014381.85</v>
      </c>
      <c r="H224" s="232"/>
      <c r="I224" s="320">
        <f t="shared" si="17"/>
        <v>0</v>
      </c>
      <c r="J224" s="320">
        <f t="shared" si="18"/>
        <v>18.24852</v>
      </c>
      <c r="K224" s="320">
        <f t="shared" si="19"/>
        <v>27032.630370000003</v>
      </c>
      <c r="L224" s="320">
        <f t="shared" si="20"/>
        <v>-27014.38185</v>
      </c>
      <c r="O224" s="252"/>
      <c r="P224" s="252"/>
      <c r="Q224" s="252"/>
      <c r="R224" s="252"/>
      <c r="S224" s="252"/>
      <c r="T224" s="252"/>
      <c r="U224" s="252"/>
    </row>
    <row r="225" spans="2:12" ht="19.5" customHeight="1">
      <c r="B225" s="234" t="s">
        <v>850</v>
      </c>
      <c r="C225" s="235" t="s">
        <v>395</v>
      </c>
      <c r="D225" s="236">
        <v>0</v>
      </c>
      <c r="E225" s="236">
        <v>14079.52</v>
      </c>
      <c r="F225" s="236">
        <v>21927501.8</v>
      </c>
      <c r="G225" s="236">
        <v>-21913422.28</v>
      </c>
      <c r="I225" s="320">
        <f aca="true" t="shared" si="21" ref="I225:I288">D225/1000</f>
        <v>0</v>
      </c>
      <c r="J225" s="320">
        <f aca="true" t="shared" si="22" ref="J225:J288">E225/1000</f>
        <v>14.07952</v>
      </c>
      <c r="K225" s="320">
        <f aca="true" t="shared" si="23" ref="K225:K288">F225/1000</f>
        <v>21927.501800000002</v>
      </c>
      <c r="L225" s="320">
        <f aca="true" t="shared" si="24" ref="L225:L288">G225/1000</f>
        <v>-21913.422280000003</v>
      </c>
    </row>
    <row r="226" spans="2:12" ht="19.5" customHeight="1">
      <c r="B226" s="234" t="s">
        <v>851</v>
      </c>
      <c r="C226" s="235" t="s">
        <v>396</v>
      </c>
      <c r="D226" s="236">
        <v>0</v>
      </c>
      <c r="E226" s="236">
        <v>1384</v>
      </c>
      <c r="F226" s="236">
        <v>1575795</v>
      </c>
      <c r="G226" s="236">
        <v>-1574411</v>
      </c>
      <c r="I226" s="320">
        <f t="shared" si="21"/>
        <v>0</v>
      </c>
      <c r="J226" s="320">
        <f t="shared" si="22"/>
        <v>1.384</v>
      </c>
      <c r="K226" s="320">
        <f t="shared" si="23"/>
        <v>1575.795</v>
      </c>
      <c r="L226" s="320">
        <f t="shared" si="24"/>
        <v>-1574.411</v>
      </c>
    </row>
    <row r="227" spans="2:12" ht="19.5" customHeight="1">
      <c r="B227" s="234" t="s">
        <v>852</v>
      </c>
      <c r="C227" s="235" t="s">
        <v>397</v>
      </c>
      <c r="D227" s="236">
        <v>0</v>
      </c>
      <c r="E227" s="236">
        <v>1969</v>
      </c>
      <c r="F227" s="236">
        <v>1407080.57</v>
      </c>
      <c r="G227" s="236">
        <v>-1405111.57</v>
      </c>
      <c r="I227" s="320">
        <f t="shared" si="21"/>
        <v>0</v>
      </c>
      <c r="J227" s="320">
        <f t="shared" si="22"/>
        <v>1.969</v>
      </c>
      <c r="K227" s="320">
        <f t="shared" si="23"/>
        <v>1407.08057</v>
      </c>
      <c r="L227" s="320">
        <f t="shared" si="24"/>
        <v>-1405.11157</v>
      </c>
    </row>
    <row r="228" spans="2:12" ht="19.5" customHeight="1">
      <c r="B228" s="234" t="s">
        <v>853</v>
      </c>
      <c r="C228" s="235" t="s">
        <v>398</v>
      </c>
      <c r="D228" s="236">
        <v>0</v>
      </c>
      <c r="E228" s="236">
        <v>756</v>
      </c>
      <c r="F228" s="236">
        <v>1949220</v>
      </c>
      <c r="G228" s="236">
        <v>-1948464</v>
      </c>
      <c r="I228" s="320">
        <f t="shared" si="21"/>
        <v>0</v>
      </c>
      <c r="J228" s="320">
        <f t="shared" si="22"/>
        <v>0.756</v>
      </c>
      <c r="K228" s="320">
        <f t="shared" si="23"/>
        <v>1949.22</v>
      </c>
      <c r="L228" s="320">
        <f t="shared" si="24"/>
        <v>-1948.464</v>
      </c>
    </row>
    <row r="229" spans="2:12" ht="19.5" customHeight="1">
      <c r="B229" s="234" t="s">
        <v>854</v>
      </c>
      <c r="C229" s="235" t="s">
        <v>399</v>
      </c>
      <c r="D229" s="236">
        <v>0</v>
      </c>
      <c r="E229" s="236">
        <v>60</v>
      </c>
      <c r="F229" s="236">
        <v>173033</v>
      </c>
      <c r="G229" s="236">
        <v>-172973</v>
      </c>
      <c r="I229" s="320">
        <f t="shared" si="21"/>
        <v>0</v>
      </c>
      <c r="J229" s="320">
        <f t="shared" si="22"/>
        <v>0.06</v>
      </c>
      <c r="K229" s="320">
        <f t="shared" si="23"/>
        <v>173.033</v>
      </c>
      <c r="L229" s="320">
        <f t="shared" si="24"/>
        <v>-172.973</v>
      </c>
    </row>
    <row r="230" spans="2:21" s="228" customFormat="1" ht="19.5" customHeight="1">
      <c r="B230" s="233" t="s">
        <v>855</v>
      </c>
      <c r="C230" s="230" t="s">
        <v>400</v>
      </c>
      <c r="D230" s="231">
        <v>0</v>
      </c>
      <c r="E230" s="231">
        <v>3703.1</v>
      </c>
      <c r="F230" s="231">
        <v>2197826.42</v>
      </c>
      <c r="G230" s="231">
        <v>-2194123.32</v>
      </c>
      <c r="H230" s="232"/>
      <c r="I230" s="320">
        <f t="shared" si="21"/>
        <v>0</v>
      </c>
      <c r="J230" s="320">
        <f t="shared" si="22"/>
        <v>3.7031</v>
      </c>
      <c r="K230" s="320">
        <f t="shared" si="23"/>
        <v>2197.82642</v>
      </c>
      <c r="L230" s="320">
        <f t="shared" si="24"/>
        <v>-2194.1233199999997</v>
      </c>
      <c r="O230" s="252"/>
      <c r="P230" s="252"/>
      <c r="Q230" s="252"/>
      <c r="R230" s="252"/>
      <c r="S230" s="252"/>
      <c r="T230" s="252"/>
      <c r="U230" s="252"/>
    </row>
    <row r="231" spans="2:12" ht="19.5" customHeight="1">
      <c r="B231" s="234" t="s">
        <v>856</v>
      </c>
      <c r="C231" s="235" t="s">
        <v>401</v>
      </c>
      <c r="D231" s="236">
        <v>0</v>
      </c>
      <c r="E231" s="236">
        <v>3475.1</v>
      </c>
      <c r="F231" s="236">
        <v>1961959.42</v>
      </c>
      <c r="G231" s="236">
        <v>-1958484.32</v>
      </c>
      <c r="I231" s="320">
        <f t="shared" si="21"/>
        <v>0</v>
      </c>
      <c r="J231" s="320">
        <f t="shared" si="22"/>
        <v>3.4751</v>
      </c>
      <c r="K231" s="320">
        <f t="shared" si="23"/>
        <v>1961.95942</v>
      </c>
      <c r="L231" s="320">
        <f t="shared" si="24"/>
        <v>-1958.48432</v>
      </c>
    </row>
    <row r="232" spans="2:12" ht="19.5" customHeight="1">
      <c r="B232" s="234" t="s">
        <v>857</v>
      </c>
      <c r="C232" s="235" t="s">
        <v>402</v>
      </c>
      <c r="D232" s="236">
        <v>0</v>
      </c>
      <c r="E232" s="236"/>
      <c r="F232" s="236">
        <v>100274</v>
      </c>
      <c r="G232" s="236">
        <v>-100274</v>
      </c>
      <c r="I232" s="320">
        <f t="shared" si="21"/>
        <v>0</v>
      </c>
      <c r="J232" s="320">
        <f t="shared" si="22"/>
        <v>0</v>
      </c>
      <c r="K232" s="320">
        <f t="shared" si="23"/>
        <v>100.274</v>
      </c>
      <c r="L232" s="320">
        <f t="shared" si="24"/>
        <v>-100.274</v>
      </c>
    </row>
    <row r="233" spans="2:12" ht="19.5" customHeight="1">
      <c r="B233" s="234" t="s">
        <v>858</v>
      </c>
      <c r="C233" s="235" t="s">
        <v>403</v>
      </c>
      <c r="D233" s="236">
        <v>0</v>
      </c>
      <c r="E233" s="236">
        <v>228</v>
      </c>
      <c r="F233" s="236">
        <v>85956</v>
      </c>
      <c r="G233" s="236">
        <v>-85728</v>
      </c>
      <c r="I233" s="320">
        <f t="shared" si="21"/>
        <v>0</v>
      </c>
      <c r="J233" s="320">
        <f t="shared" si="22"/>
        <v>0.228</v>
      </c>
      <c r="K233" s="320">
        <f t="shared" si="23"/>
        <v>85.956</v>
      </c>
      <c r="L233" s="320">
        <f t="shared" si="24"/>
        <v>-85.728</v>
      </c>
    </row>
    <row r="234" spans="2:12" ht="19.5" customHeight="1">
      <c r="B234" s="234" t="s">
        <v>859</v>
      </c>
      <c r="C234" s="235" t="s">
        <v>404</v>
      </c>
      <c r="D234" s="236">
        <v>0</v>
      </c>
      <c r="E234" s="236"/>
      <c r="F234" s="236">
        <v>45360</v>
      </c>
      <c r="G234" s="236">
        <v>-45360</v>
      </c>
      <c r="I234" s="320">
        <f t="shared" si="21"/>
        <v>0</v>
      </c>
      <c r="J234" s="320">
        <f t="shared" si="22"/>
        <v>0</v>
      </c>
      <c r="K234" s="320">
        <f t="shared" si="23"/>
        <v>45.36</v>
      </c>
      <c r="L234" s="320">
        <f t="shared" si="24"/>
        <v>-45.36</v>
      </c>
    </row>
    <row r="235" spans="2:12" ht="19.5" customHeight="1">
      <c r="B235" s="234" t="s">
        <v>860</v>
      </c>
      <c r="C235" s="235" t="s">
        <v>405</v>
      </c>
      <c r="D235" s="236">
        <v>0</v>
      </c>
      <c r="E235" s="236"/>
      <c r="F235" s="236">
        <v>4277</v>
      </c>
      <c r="G235" s="236">
        <v>-4277</v>
      </c>
      <c r="I235" s="320">
        <f t="shared" si="21"/>
        <v>0</v>
      </c>
      <c r="J235" s="320">
        <f t="shared" si="22"/>
        <v>0</v>
      </c>
      <c r="K235" s="320">
        <f t="shared" si="23"/>
        <v>4.277</v>
      </c>
      <c r="L235" s="320">
        <f t="shared" si="24"/>
        <v>-4.277</v>
      </c>
    </row>
    <row r="236" spans="2:12" ht="19.5" customHeight="1">
      <c r="B236" s="233" t="s">
        <v>861</v>
      </c>
      <c r="C236" s="235" t="s">
        <v>406</v>
      </c>
      <c r="D236" s="236">
        <v>0</v>
      </c>
      <c r="E236" s="236"/>
      <c r="F236" s="236">
        <v>40224</v>
      </c>
      <c r="G236" s="236">
        <v>-40224</v>
      </c>
      <c r="I236" s="320">
        <f t="shared" si="21"/>
        <v>0</v>
      </c>
      <c r="J236" s="320">
        <f t="shared" si="22"/>
        <v>0</v>
      </c>
      <c r="K236" s="320">
        <f t="shared" si="23"/>
        <v>40.224</v>
      </c>
      <c r="L236" s="320">
        <f t="shared" si="24"/>
        <v>-40.224</v>
      </c>
    </row>
    <row r="237" spans="2:12" ht="19.5" customHeight="1">
      <c r="B237" s="234" t="s">
        <v>862</v>
      </c>
      <c r="C237" s="235" t="s">
        <v>407</v>
      </c>
      <c r="D237" s="236">
        <v>0</v>
      </c>
      <c r="E237" s="236"/>
      <c r="F237" s="236">
        <v>40224</v>
      </c>
      <c r="G237" s="236">
        <v>-40224</v>
      </c>
      <c r="I237" s="320">
        <f t="shared" si="21"/>
        <v>0</v>
      </c>
      <c r="J237" s="320">
        <f t="shared" si="22"/>
        <v>0</v>
      </c>
      <c r="K237" s="320">
        <f t="shared" si="23"/>
        <v>40.224</v>
      </c>
      <c r="L237" s="320">
        <f t="shared" si="24"/>
        <v>-40.224</v>
      </c>
    </row>
    <row r="238" spans="2:21" s="228" customFormat="1" ht="19.5" customHeight="1">
      <c r="B238" s="233" t="s">
        <v>863</v>
      </c>
      <c r="C238" s="230" t="s">
        <v>408</v>
      </c>
      <c r="D238" s="231">
        <v>0</v>
      </c>
      <c r="E238" s="236"/>
      <c r="F238" s="236">
        <v>96512</v>
      </c>
      <c r="G238" s="231">
        <v>-96512</v>
      </c>
      <c r="H238" s="232"/>
      <c r="I238" s="320">
        <f t="shared" si="21"/>
        <v>0</v>
      </c>
      <c r="J238" s="320">
        <f t="shared" si="22"/>
        <v>0</v>
      </c>
      <c r="K238" s="320">
        <f t="shared" si="23"/>
        <v>96.512</v>
      </c>
      <c r="L238" s="320">
        <f t="shared" si="24"/>
        <v>-96.512</v>
      </c>
      <c r="O238" s="252"/>
      <c r="P238" s="252"/>
      <c r="Q238" s="252"/>
      <c r="R238" s="252"/>
      <c r="S238" s="252"/>
      <c r="T238" s="252"/>
      <c r="U238" s="252"/>
    </row>
    <row r="239" spans="2:12" ht="19.5" customHeight="1">
      <c r="B239" s="234" t="s">
        <v>864</v>
      </c>
      <c r="C239" s="235" t="s">
        <v>409</v>
      </c>
      <c r="D239" s="236">
        <v>0</v>
      </c>
      <c r="E239" s="236"/>
      <c r="F239" s="236">
        <v>96512</v>
      </c>
      <c r="G239" s="236">
        <v>-96512</v>
      </c>
      <c r="I239" s="320">
        <f t="shared" si="21"/>
        <v>0</v>
      </c>
      <c r="J239" s="320">
        <f t="shared" si="22"/>
        <v>0</v>
      </c>
      <c r="K239" s="320">
        <f t="shared" si="23"/>
        <v>96.512</v>
      </c>
      <c r="L239" s="320">
        <f t="shared" si="24"/>
        <v>-96.512</v>
      </c>
    </row>
    <row r="240" spans="2:21" s="228" customFormat="1" ht="19.5" customHeight="1">
      <c r="B240" s="233" t="s">
        <v>865</v>
      </c>
      <c r="C240" s="230" t="s">
        <v>410</v>
      </c>
      <c r="D240" s="231">
        <v>0</v>
      </c>
      <c r="E240" s="236">
        <v>502</v>
      </c>
      <c r="F240" s="231">
        <v>94234.3</v>
      </c>
      <c r="G240" s="231">
        <v>-93732.3</v>
      </c>
      <c r="H240" s="232"/>
      <c r="I240" s="320">
        <f t="shared" si="21"/>
        <v>0</v>
      </c>
      <c r="J240" s="320">
        <f t="shared" si="22"/>
        <v>0.502</v>
      </c>
      <c r="K240" s="320">
        <f t="shared" si="23"/>
        <v>94.2343</v>
      </c>
      <c r="L240" s="320">
        <f t="shared" si="24"/>
        <v>-93.73230000000001</v>
      </c>
      <c r="O240" s="252"/>
      <c r="P240" s="252"/>
      <c r="Q240" s="252"/>
      <c r="R240" s="252"/>
      <c r="S240" s="252"/>
      <c r="T240" s="252"/>
      <c r="U240" s="252"/>
    </row>
    <row r="241" spans="2:12" ht="19.5" customHeight="1">
      <c r="B241" s="234" t="s">
        <v>866</v>
      </c>
      <c r="C241" s="235" t="s">
        <v>411</v>
      </c>
      <c r="D241" s="236">
        <v>0</v>
      </c>
      <c r="E241" s="236"/>
      <c r="F241" s="236">
        <v>54752.6</v>
      </c>
      <c r="G241" s="236">
        <v>-54752.6</v>
      </c>
      <c r="I241" s="320">
        <f t="shared" si="21"/>
        <v>0</v>
      </c>
      <c r="J241" s="320">
        <f t="shared" si="22"/>
        <v>0</v>
      </c>
      <c r="K241" s="320">
        <f t="shared" si="23"/>
        <v>54.7526</v>
      </c>
      <c r="L241" s="320">
        <f t="shared" si="24"/>
        <v>-54.7526</v>
      </c>
    </row>
    <row r="242" spans="2:12" ht="19.5" customHeight="1">
      <c r="B242" s="234" t="s">
        <v>867</v>
      </c>
      <c r="C242" s="235" t="s">
        <v>412</v>
      </c>
      <c r="D242" s="236">
        <v>0</v>
      </c>
      <c r="E242" s="236">
        <v>502</v>
      </c>
      <c r="F242" s="236">
        <v>39481.7</v>
      </c>
      <c r="G242" s="236">
        <v>-38979.7</v>
      </c>
      <c r="I242" s="320">
        <f t="shared" si="21"/>
        <v>0</v>
      </c>
      <c r="J242" s="320">
        <f t="shared" si="22"/>
        <v>0.502</v>
      </c>
      <c r="K242" s="320">
        <f t="shared" si="23"/>
        <v>39.4817</v>
      </c>
      <c r="L242" s="320">
        <f t="shared" si="24"/>
        <v>-38.979699999999994</v>
      </c>
    </row>
    <row r="243" spans="2:21" s="228" customFormat="1" ht="19.5" customHeight="1">
      <c r="B243" s="233" t="s">
        <v>868</v>
      </c>
      <c r="C243" s="230" t="s">
        <v>413</v>
      </c>
      <c r="D243" s="231">
        <v>0</v>
      </c>
      <c r="E243" s="236">
        <v>20515.6</v>
      </c>
      <c r="F243" s="231">
        <v>2122045.12</v>
      </c>
      <c r="G243" s="231">
        <v>-2101529.52</v>
      </c>
      <c r="H243" s="232"/>
      <c r="I243" s="320">
        <f t="shared" si="21"/>
        <v>0</v>
      </c>
      <c r="J243" s="320">
        <f t="shared" si="22"/>
        <v>20.5156</v>
      </c>
      <c r="K243" s="320">
        <f t="shared" si="23"/>
        <v>2122.04512</v>
      </c>
      <c r="L243" s="320">
        <f t="shared" si="24"/>
        <v>-2101.52952</v>
      </c>
      <c r="O243" s="252"/>
      <c r="P243" s="252"/>
      <c r="Q243" s="252"/>
      <c r="R243" s="252"/>
      <c r="S243" s="252"/>
      <c r="T243" s="252"/>
      <c r="U243" s="252"/>
    </row>
    <row r="244" spans="2:12" ht="19.5" customHeight="1">
      <c r="B244" s="234" t="s">
        <v>869</v>
      </c>
      <c r="C244" s="235" t="s">
        <v>414</v>
      </c>
      <c r="D244" s="236">
        <v>0</v>
      </c>
      <c r="E244" s="236"/>
      <c r="F244" s="236">
        <v>556090</v>
      </c>
      <c r="G244" s="236">
        <v>-556090</v>
      </c>
      <c r="I244" s="320">
        <f t="shared" si="21"/>
        <v>0</v>
      </c>
      <c r="J244" s="320">
        <f t="shared" si="22"/>
        <v>0</v>
      </c>
      <c r="K244" s="320">
        <f t="shared" si="23"/>
        <v>556.09</v>
      </c>
      <c r="L244" s="320">
        <f t="shared" si="24"/>
        <v>-556.09</v>
      </c>
    </row>
    <row r="245" spans="2:12" ht="19.5" customHeight="1">
      <c r="B245" s="234" t="s">
        <v>870</v>
      </c>
      <c r="C245" s="235" t="s">
        <v>415</v>
      </c>
      <c r="D245" s="236">
        <v>0</v>
      </c>
      <c r="E245" s="236"/>
      <c r="F245" s="236">
        <v>1680</v>
      </c>
      <c r="G245" s="236">
        <v>-1680</v>
      </c>
      <c r="I245" s="320">
        <f t="shared" si="21"/>
        <v>0</v>
      </c>
      <c r="J245" s="320">
        <f t="shared" si="22"/>
        <v>0</v>
      </c>
      <c r="K245" s="320">
        <f t="shared" si="23"/>
        <v>1.68</v>
      </c>
      <c r="L245" s="320">
        <f t="shared" si="24"/>
        <v>-1.68</v>
      </c>
    </row>
    <row r="246" spans="2:12" ht="19.5" customHeight="1">
      <c r="B246" s="234" t="s">
        <v>871</v>
      </c>
      <c r="C246" s="235" t="s">
        <v>416</v>
      </c>
      <c r="D246" s="236">
        <v>0</v>
      </c>
      <c r="E246" s="236">
        <v>5370</v>
      </c>
      <c r="F246" s="236">
        <v>57625</v>
      </c>
      <c r="G246" s="236">
        <v>-52255</v>
      </c>
      <c r="I246" s="320">
        <f t="shared" si="21"/>
        <v>0</v>
      </c>
      <c r="J246" s="320">
        <f t="shared" si="22"/>
        <v>5.37</v>
      </c>
      <c r="K246" s="320">
        <f t="shared" si="23"/>
        <v>57.625</v>
      </c>
      <c r="L246" s="320">
        <f t="shared" si="24"/>
        <v>-52.255</v>
      </c>
    </row>
    <row r="247" spans="2:12" ht="19.5" customHeight="1">
      <c r="B247" s="234" t="s">
        <v>872</v>
      </c>
      <c r="C247" s="235" t="s">
        <v>417</v>
      </c>
      <c r="D247" s="236">
        <v>0</v>
      </c>
      <c r="E247" s="236"/>
      <c r="F247" s="236">
        <v>10754</v>
      </c>
      <c r="G247" s="236">
        <v>-10754</v>
      </c>
      <c r="I247" s="320">
        <f t="shared" si="21"/>
        <v>0</v>
      </c>
      <c r="J247" s="320">
        <f t="shared" si="22"/>
        <v>0</v>
      </c>
      <c r="K247" s="320">
        <f t="shared" si="23"/>
        <v>10.754</v>
      </c>
      <c r="L247" s="320">
        <f t="shared" si="24"/>
        <v>-10.754</v>
      </c>
    </row>
    <row r="248" spans="2:12" ht="19.5" customHeight="1">
      <c r="B248" s="234" t="s">
        <v>873</v>
      </c>
      <c r="C248" s="235" t="s">
        <v>418</v>
      </c>
      <c r="D248" s="236">
        <v>0</v>
      </c>
      <c r="E248" s="236">
        <v>6456</v>
      </c>
      <c r="F248" s="236">
        <v>59923</v>
      </c>
      <c r="G248" s="236">
        <v>-53467</v>
      </c>
      <c r="I248" s="320">
        <f t="shared" si="21"/>
        <v>0</v>
      </c>
      <c r="J248" s="320">
        <f t="shared" si="22"/>
        <v>6.456</v>
      </c>
      <c r="K248" s="320">
        <f t="shared" si="23"/>
        <v>59.923</v>
      </c>
      <c r="L248" s="320">
        <f t="shared" si="24"/>
        <v>-53.467</v>
      </c>
    </row>
    <row r="249" spans="2:12" ht="19.5" customHeight="1">
      <c r="B249" s="234" t="s">
        <v>874</v>
      </c>
      <c r="C249" s="235" t="s">
        <v>419</v>
      </c>
      <c r="D249" s="236">
        <v>0</v>
      </c>
      <c r="E249" s="236"/>
      <c r="F249" s="236">
        <v>1399440</v>
      </c>
      <c r="G249" s="236">
        <v>-1399440</v>
      </c>
      <c r="I249" s="320">
        <f t="shared" si="21"/>
        <v>0</v>
      </c>
      <c r="J249" s="320">
        <f t="shared" si="22"/>
        <v>0</v>
      </c>
      <c r="K249" s="320">
        <f t="shared" si="23"/>
        <v>1399.44</v>
      </c>
      <c r="L249" s="320">
        <f t="shared" si="24"/>
        <v>-1399.44</v>
      </c>
    </row>
    <row r="250" spans="2:12" ht="19.5" customHeight="1">
      <c r="B250" s="234" t="s">
        <v>875</v>
      </c>
      <c r="C250" s="235" t="s">
        <v>420</v>
      </c>
      <c r="D250" s="236">
        <v>0</v>
      </c>
      <c r="E250" s="236">
        <v>8689.6</v>
      </c>
      <c r="F250" s="236">
        <v>36533.12</v>
      </c>
      <c r="G250" s="236">
        <v>-27843.52</v>
      </c>
      <c r="I250" s="320">
        <f t="shared" si="21"/>
        <v>0</v>
      </c>
      <c r="J250" s="320">
        <f t="shared" si="22"/>
        <v>8.6896</v>
      </c>
      <c r="K250" s="320">
        <f t="shared" si="23"/>
        <v>36.533120000000004</v>
      </c>
      <c r="L250" s="320">
        <f t="shared" si="24"/>
        <v>-27.84352</v>
      </c>
    </row>
    <row r="251" spans="2:21" s="228" customFormat="1" ht="19.5" customHeight="1">
      <c r="B251" s="233" t="s">
        <v>876</v>
      </c>
      <c r="C251" s="230" t="s">
        <v>36</v>
      </c>
      <c r="D251" s="231">
        <v>0</v>
      </c>
      <c r="E251" s="231">
        <v>2796575.04</v>
      </c>
      <c r="F251" s="231">
        <v>13448057.07</v>
      </c>
      <c r="G251" s="231">
        <v>-10651482.03</v>
      </c>
      <c r="H251" s="232"/>
      <c r="I251" s="320">
        <f t="shared" si="21"/>
        <v>0</v>
      </c>
      <c r="J251" s="320">
        <f t="shared" si="22"/>
        <v>2796.57504</v>
      </c>
      <c r="K251" s="320">
        <f t="shared" si="23"/>
        <v>13448.05707</v>
      </c>
      <c r="L251" s="320">
        <f t="shared" si="24"/>
        <v>-10651.48203</v>
      </c>
      <c r="M251" s="326"/>
      <c r="O251" s="252"/>
      <c r="P251" s="252"/>
      <c r="Q251" s="252"/>
      <c r="R251" s="252"/>
      <c r="S251" s="252"/>
      <c r="T251" s="252"/>
      <c r="U251" s="252"/>
    </row>
    <row r="252" spans="2:21" s="228" customFormat="1" ht="19.5" customHeight="1">
      <c r="B252" s="253" t="s">
        <v>877</v>
      </c>
      <c r="C252" s="254" t="s">
        <v>421</v>
      </c>
      <c r="D252" s="255">
        <v>0</v>
      </c>
      <c r="E252" s="257">
        <v>1805996.11</v>
      </c>
      <c r="F252" s="255">
        <v>9463331.02</v>
      </c>
      <c r="G252" s="255">
        <v>-7657334.91</v>
      </c>
      <c r="H252" s="256"/>
      <c r="I252" s="321">
        <f t="shared" si="21"/>
        <v>0</v>
      </c>
      <c r="J252" s="321">
        <f t="shared" si="22"/>
        <v>1805.99611</v>
      </c>
      <c r="K252" s="321">
        <f t="shared" si="23"/>
        <v>9463.33102</v>
      </c>
      <c r="L252" s="321">
        <f t="shared" si="24"/>
        <v>-7657.3349100000005</v>
      </c>
      <c r="O252" s="252"/>
      <c r="P252" s="252"/>
      <c r="Q252" s="252"/>
      <c r="R252" s="252"/>
      <c r="S252" s="252"/>
      <c r="T252" s="252"/>
      <c r="U252" s="252"/>
    </row>
    <row r="253" spans="2:12" ht="19.5" customHeight="1">
      <c r="B253" s="234" t="s">
        <v>878</v>
      </c>
      <c r="C253" s="235" t="s">
        <v>422</v>
      </c>
      <c r="D253" s="236">
        <v>0</v>
      </c>
      <c r="E253" s="236">
        <v>80173.34</v>
      </c>
      <c r="F253" s="236">
        <v>1071720.54</v>
      </c>
      <c r="G253" s="236">
        <v>-991547.2</v>
      </c>
      <c r="I253" s="320">
        <f t="shared" si="21"/>
        <v>0</v>
      </c>
      <c r="J253" s="320">
        <f t="shared" si="22"/>
        <v>80.17334</v>
      </c>
      <c r="K253" s="320">
        <f t="shared" si="23"/>
        <v>1071.72054</v>
      </c>
      <c r="L253" s="320">
        <f t="shared" si="24"/>
        <v>-991.5472</v>
      </c>
    </row>
    <row r="254" spans="2:12" ht="19.5" customHeight="1">
      <c r="B254" s="234" t="s">
        <v>879</v>
      </c>
      <c r="C254" s="235" t="s">
        <v>423</v>
      </c>
      <c r="D254" s="236">
        <v>0</v>
      </c>
      <c r="E254" s="236">
        <v>173955.7</v>
      </c>
      <c r="F254" s="236">
        <v>433394.61</v>
      </c>
      <c r="G254" s="236">
        <v>-259438.91</v>
      </c>
      <c r="I254" s="320">
        <f t="shared" si="21"/>
        <v>0</v>
      </c>
      <c r="J254" s="320">
        <f t="shared" si="22"/>
        <v>173.9557</v>
      </c>
      <c r="K254" s="320">
        <f t="shared" si="23"/>
        <v>433.39461</v>
      </c>
      <c r="L254" s="320">
        <f t="shared" si="24"/>
        <v>-259.43891</v>
      </c>
    </row>
    <row r="255" spans="2:12" ht="19.5" customHeight="1">
      <c r="B255" s="234" t="s">
        <v>880</v>
      </c>
      <c r="C255" s="235" t="s">
        <v>424</v>
      </c>
      <c r="D255" s="236">
        <v>0</v>
      </c>
      <c r="E255" s="236">
        <v>7350.35</v>
      </c>
      <c r="F255" s="236">
        <v>239824.27</v>
      </c>
      <c r="G255" s="236">
        <v>-232473.92</v>
      </c>
      <c r="I255" s="320">
        <f t="shared" si="21"/>
        <v>0</v>
      </c>
      <c r="J255" s="320">
        <f t="shared" si="22"/>
        <v>7.350350000000001</v>
      </c>
      <c r="K255" s="320">
        <f t="shared" si="23"/>
        <v>239.82426999999998</v>
      </c>
      <c r="L255" s="320">
        <f t="shared" si="24"/>
        <v>-232.47392000000002</v>
      </c>
    </row>
    <row r="256" spans="2:12" ht="19.5" customHeight="1">
      <c r="B256" s="234" t="s">
        <v>881</v>
      </c>
      <c r="C256" s="235" t="s">
        <v>425</v>
      </c>
      <c r="D256" s="236">
        <v>0</v>
      </c>
      <c r="E256" s="236">
        <v>24015</v>
      </c>
      <c r="F256" s="236">
        <v>81545</v>
      </c>
      <c r="G256" s="236">
        <v>-57530</v>
      </c>
      <c r="I256" s="320">
        <f t="shared" si="21"/>
        <v>0</v>
      </c>
      <c r="J256" s="320">
        <f t="shared" si="22"/>
        <v>24.015</v>
      </c>
      <c r="K256" s="320">
        <f t="shared" si="23"/>
        <v>81.545</v>
      </c>
      <c r="L256" s="320">
        <f t="shared" si="24"/>
        <v>-57.53</v>
      </c>
    </row>
    <row r="257" spans="2:12" ht="19.5" customHeight="1">
      <c r="B257" s="234" t="s">
        <v>882</v>
      </c>
      <c r="C257" s="235" t="s">
        <v>426</v>
      </c>
      <c r="D257" s="236">
        <v>0</v>
      </c>
      <c r="E257" s="236">
        <v>153093.57</v>
      </c>
      <c r="F257" s="236">
        <v>1059403.39</v>
      </c>
      <c r="G257" s="236">
        <v>-906309.82</v>
      </c>
      <c r="I257" s="320">
        <f t="shared" si="21"/>
        <v>0</v>
      </c>
      <c r="J257" s="320">
        <f t="shared" si="22"/>
        <v>153.09357</v>
      </c>
      <c r="K257" s="320">
        <f t="shared" si="23"/>
        <v>1059.40339</v>
      </c>
      <c r="L257" s="320">
        <f t="shared" si="24"/>
        <v>-906.30982</v>
      </c>
    </row>
    <row r="258" spans="2:12" ht="19.5" customHeight="1">
      <c r="B258" s="234" t="s">
        <v>883</v>
      </c>
      <c r="C258" s="235" t="s">
        <v>427</v>
      </c>
      <c r="D258" s="236">
        <v>0</v>
      </c>
      <c r="E258" s="236">
        <v>1367408.15</v>
      </c>
      <c r="F258" s="236">
        <v>6577443.21</v>
      </c>
      <c r="G258" s="236">
        <v>-5210035.06</v>
      </c>
      <c r="I258" s="320">
        <f t="shared" si="21"/>
        <v>0</v>
      </c>
      <c r="J258" s="320">
        <f t="shared" si="22"/>
        <v>1367.40815</v>
      </c>
      <c r="K258" s="320">
        <f t="shared" si="23"/>
        <v>6577.44321</v>
      </c>
      <c r="L258" s="320">
        <f t="shared" si="24"/>
        <v>-5210.035059999999</v>
      </c>
    </row>
    <row r="259" spans="2:21" s="228" customFormat="1" ht="19.5" customHeight="1">
      <c r="B259" s="253" t="s">
        <v>884</v>
      </c>
      <c r="C259" s="254" t="s">
        <v>428</v>
      </c>
      <c r="D259" s="255">
        <v>0</v>
      </c>
      <c r="E259" s="257">
        <v>97010.85</v>
      </c>
      <c r="F259" s="255">
        <v>220666.83</v>
      </c>
      <c r="G259" s="255">
        <v>-123655.98</v>
      </c>
      <c r="H259" s="256"/>
      <c r="I259" s="321">
        <f t="shared" si="21"/>
        <v>0</v>
      </c>
      <c r="J259" s="321">
        <f t="shared" si="22"/>
        <v>97.01085</v>
      </c>
      <c r="K259" s="321">
        <f t="shared" si="23"/>
        <v>220.66682999999998</v>
      </c>
      <c r="L259" s="321">
        <f t="shared" si="24"/>
        <v>-123.65598</v>
      </c>
      <c r="O259" s="252"/>
      <c r="P259" s="252"/>
      <c r="Q259" s="252"/>
      <c r="R259" s="252"/>
      <c r="S259" s="252"/>
      <c r="T259" s="252"/>
      <c r="U259" s="252"/>
    </row>
    <row r="260" spans="2:12" ht="19.5" customHeight="1">
      <c r="B260" s="234" t="s">
        <v>885</v>
      </c>
      <c r="C260" s="235" t="s">
        <v>429</v>
      </c>
      <c r="D260" s="236">
        <v>0</v>
      </c>
      <c r="E260" s="236">
        <v>82380.85</v>
      </c>
      <c r="F260" s="236">
        <v>206036.83</v>
      </c>
      <c r="G260" s="236">
        <v>-123655.98</v>
      </c>
      <c r="I260" s="320">
        <f t="shared" si="21"/>
        <v>0</v>
      </c>
      <c r="J260" s="320">
        <f t="shared" si="22"/>
        <v>82.38085000000001</v>
      </c>
      <c r="K260" s="320">
        <f t="shared" si="23"/>
        <v>206.03682999999998</v>
      </c>
      <c r="L260" s="320">
        <f t="shared" si="24"/>
        <v>-123.65598</v>
      </c>
    </row>
    <row r="261" spans="2:12" ht="19.5" customHeight="1">
      <c r="B261" s="234" t="s">
        <v>886</v>
      </c>
      <c r="C261" s="235" t="s">
        <v>430</v>
      </c>
      <c r="D261" s="236">
        <v>0</v>
      </c>
      <c r="E261" s="236">
        <v>14630</v>
      </c>
      <c r="F261" s="236">
        <v>14630</v>
      </c>
      <c r="G261" s="236">
        <v>0</v>
      </c>
      <c r="I261" s="320">
        <f t="shared" si="21"/>
        <v>0</v>
      </c>
      <c r="J261" s="320">
        <f t="shared" si="22"/>
        <v>14.63</v>
      </c>
      <c r="K261" s="320">
        <f t="shared" si="23"/>
        <v>14.63</v>
      </c>
      <c r="L261" s="320">
        <f t="shared" si="24"/>
        <v>0</v>
      </c>
    </row>
    <row r="262" spans="2:21" s="228" customFormat="1" ht="19.5" customHeight="1">
      <c r="B262" s="253" t="s">
        <v>887</v>
      </c>
      <c r="C262" s="254" t="s">
        <v>431</v>
      </c>
      <c r="D262" s="255">
        <v>0</v>
      </c>
      <c r="E262" s="257">
        <v>132090</v>
      </c>
      <c r="F262" s="255">
        <v>361990</v>
      </c>
      <c r="G262" s="255">
        <v>-229900</v>
      </c>
      <c r="H262" s="256"/>
      <c r="I262" s="321">
        <f t="shared" si="21"/>
        <v>0</v>
      </c>
      <c r="J262" s="321">
        <f t="shared" si="22"/>
        <v>132.09</v>
      </c>
      <c r="K262" s="321">
        <f t="shared" si="23"/>
        <v>361.99</v>
      </c>
      <c r="L262" s="321">
        <f t="shared" si="24"/>
        <v>-229.9</v>
      </c>
      <c r="O262" s="252"/>
      <c r="P262" s="252"/>
      <c r="Q262" s="252"/>
      <c r="R262" s="252"/>
      <c r="S262" s="252"/>
      <c r="T262" s="252"/>
      <c r="U262" s="252"/>
    </row>
    <row r="263" spans="2:12" ht="19.5" customHeight="1">
      <c r="B263" s="234" t="s">
        <v>888</v>
      </c>
      <c r="C263" s="235" t="s">
        <v>432</v>
      </c>
      <c r="D263" s="236">
        <v>0</v>
      </c>
      <c r="E263" s="236">
        <v>75000</v>
      </c>
      <c r="F263" s="236">
        <v>231500</v>
      </c>
      <c r="G263" s="236">
        <v>-156500</v>
      </c>
      <c r="I263" s="320">
        <f t="shared" si="21"/>
        <v>0</v>
      </c>
      <c r="J263" s="320">
        <f t="shared" si="22"/>
        <v>75</v>
      </c>
      <c r="K263" s="320">
        <f t="shared" si="23"/>
        <v>231.5</v>
      </c>
      <c r="L263" s="320">
        <f t="shared" si="24"/>
        <v>-156.5</v>
      </c>
    </row>
    <row r="264" spans="2:12" ht="19.5" customHeight="1">
      <c r="B264" s="234" t="s">
        <v>889</v>
      </c>
      <c r="C264" s="235" t="s">
        <v>433</v>
      </c>
      <c r="D264" s="236">
        <v>0</v>
      </c>
      <c r="E264" s="236">
        <v>57090</v>
      </c>
      <c r="F264" s="236">
        <v>125490</v>
      </c>
      <c r="G264" s="236">
        <v>-68400</v>
      </c>
      <c r="I264" s="320">
        <f t="shared" si="21"/>
        <v>0</v>
      </c>
      <c r="J264" s="320">
        <f t="shared" si="22"/>
        <v>57.09</v>
      </c>
      <c r="K264" s="320">
        <f t="shared" si="23"/>
        <v>125.49</v>
      </c>
      <c r="L264" s="320">
        <f t="shared" si="24"/>
        <v>-68.4</v>
      </c>
    </row>
    <row r="265" spans="2:12" ht="19.5" customHeight="1">
      <c r="B265" s="234" t="s">
        <v>890</v>
      </c>
      <c r="C265" s="235" t="s">
        <v>434</v>
      </c>
      <c r="D265" s="236">
        <v>0</v>
      </c>
      <c r="E265" s="236"/>
      <c r="F265" s="236">
        <v>5000</v>
      </c>
      <c r="G265" s="236">
        <v>-5000</v>
      </c>
      <c r="I265" s="320">
        <f t="shared" si="21"/>
        <v>0</v>
      </c>
      <c r="J265" s="320">
        <f t="shared" si="22"/>
        <v>0</v>
      </c>
      <c r="K265" s="320">
        <f t="shared" si="23"/>
        <v>5</v>
      </c>
      <c r="L265" s="320">
        <f t="shared" si="24"/>
        <v>-5</v>
      </c>
    </row>
    <row r="266" spans="2:21" s="228" customFormat="1" ht="19.5" customHeight="1">
      <c r="B266" s="253" t="s">
        <v>891</v>
      </c>
      <c r="C266" s="254" t="s">
        <v>435</v>
      </c>
      <c r="D266" s="255">
        <v>0</v>
      </c>
      <c r="E266" s="255">
        <v>411983.89</v>
      </c>
      <c r="F266" s="255">
        <v>2222394.47</v>
      </c>
      <c r="G266" s="255">
        <v>-1810410.58</v>
      </c>
      <c r="H266" s="256"/>
      <c r="I266" s="321">
        <f t="shared" si="21"/>
        <v>0</v>
      </c>
      <c r="J266" s="321">
        <f t="shared" si="22"/>
        <v>411.98389000000003</v>
      </c>
      <c r="K266" s="321">
        <f t="shared" si="23"/>
        <v>2222.39447</v>
      </c>
      <c r="L266" s="321">
        <f t="shared" si="24"/>
        <v>-1810.41058</v>
      </c>
      <c r="O266" s="252"/>
      <c r="P266" s="252"/>
      <c r="Q266" s="252"/>
      <c r="R266" s="252"/>
      <c r="S266" s="252"/>
      <c r="T266" s="252"/>
      <c r="U266" s="252"/>
    </row>
    <row r="267" spans="2:12" ht="19.5" customHeight="1">
      <c r="B267" s="234" t="s">
        <v>892</v>
      </c>
      <c r="C267" s="235" t="s">
        <v>436</v>
      </c>
      <c r="D267" s="236">
        <v>0</v>
      </c>
      <c r="E267" s="236">
        <v>8325</v>
      </c>
      <c r="F267" s="236">
        <v>8325</v>
      </c>
      <c r="G267" s="236">
        <v>0</v>
      </c>
      <c r="I267" s="320">
        <f t="shared" si="21"/>
        <v>0</v>
      </c>
      <c r="J267" s="320">
        <f t="shared" si="22"/>
        <v>8.325</v>
      </c>
      <c r="K267" s="320">
        <f t="shared" si="23"/>
        <v>8.325</v>
      </c>
      <c r="L267" s="320">
        <f t="shared" si="24"/>
        <v>0</v>
      </c>
    </row>
    <row r="268" spans="2:12" ht="19.5" customHeight="1">
      <c r="B268" s="234" t="s">
        <v>893</v>
      </c>
      <c r="C268" s="235" t="s">
        <v>437</v>
      </c>
      <c r="D268" s="236">
        <v>0</v>
      </c>
      <c r="E268" s="236">
        <v>160188.83</v>
      </c>
      <c r="F268" s="236">
        <v>740832.82</v>
      </c>
      <c r="G268" s="236">
        <v>-580643.99</v>
      </c>
      <c r="I268" s="320">
        <f t="shared" si="21"/>
        <v>0</v>
      </c>
      <c r="J268" s="320">
        <f t="shared" si="22"/>
        <v>160.18883</v>
      </c>
      <c r="K268" s="320">
        <f t="shared" si="23"/>
        <v>740.83282</v>
      </c>
      <c r="L268" s="320">
        <f t="shared" si="24"/>
        <v>-580.64399</v>
      </c>
    </row>
    <row r="269" spans="2:12" ht="19.5" customHeight="1">
      <c r="B269" s="234" t="s">
        <v>894</v>
      </c>
      <c r="C269" s="235" t="s">
        <v>438</v>
      </c>
      <c r="D269" s="236">
        <v>0</v>
      </c>
      <c r="E269" s="236">
        <v>15552</v>
      </c>
      <c r="F269" s="236">
        <v>109773.25</v>
      </c>
      <c r="G269" s="236">
        <v>-94221.25</v>
      </c>
      <c r="I269" s="320">
        <f t="shared" si="21"/>
        <v>0</v>
      </c>
      <c r="J269" s="320">
        <f t="shared" si="22"/>
        <v>15.552</v>
      </c>
      <c r="K269" s="320">
        <f t="shared" si="23"/>
        <v>109.77325</v>
      </c>
      <c r="L269" s="320">
        <f t="shared" si="24"/>
        <v>-94.22125</v>
      </c>
    </row>
    <row r="270" spans="2:12" ht="19.5" customHeight="1">
      <c r="B270" s="234" t="s">
        <v>895</v>
      </c>
      <c r="C270" s="235" t="s">
        <v>439</v>
      </c>
      <c r="D270" s="236">
        <v>0</v>
      </c>
      <c r="E270" s="236">
        <v>79859.84</v>
      </c>
      <c r="F270" s="236">
        <v>430061.77</v>
      </c>
      <c r="G270" s="236">
        <v>-350201.93</v>
      </c>
      <c r="I270" s="320">
        <f t="shared" si="21"/>
        <v>0</v>
      </c>
      <c r="J270" s="320">
        <f t="shared" si="22"/>
        <v>79.85983999999999</v>
      </c>
      <c r="K270" s="320">
        <f t="shared" si="23"/>
        <v>430.06177</v>
      </c>
      <c r="L270" s="320">
        <f t="shared" si="24"/>
        <v>-350.20193</v>
      </c>
    </row>
    <row r="271" spans="2:12" ht="19.5" customHeight="1">
      <c r="B271" s="234" t="s">
        <v>896</v>
      </c>
      <c r="C271" s="235" t="s">
        <v>440</v>
      </c>
      <c r="D271" s="236">
        <v>0</v>
      </c>
      <c r="E271" s="236">
        <v>86955.6</v>
      </c>
      <c r="F271" s="236">
        <v>500693.57</v>
      </c>
      <c r="G271" s="236">
        <v>-413737.97</v>
      </c>
      <c r="I271" s="320">
        <f t="shared" si="21"/>
        <v>0</v>
      </c>
      <c r="J271" s="320">
        <f t="shared" si="22"/>
        <v>86.9556</v>
      </c>
      <c r="K271" s="320">
        <f t="shared" si="23"/>
        <v>500.69357</v>
      </c>
      <c r="L271" s="320">
        <f t="shared" si="24"/>
        <v>-413.73796999999996</v>
      </c>
    </row>
    <row r="272" spans="2:12" ht="19.5" customHeight="1">
      <c r="B272" s="234" t="s">
        <v>897</v>
      </c>
      <c r="C272" s="235" t="s">
        <v>441</v>
      </c>
      <c r="D272" s="236">
        <v>0</v>
      </c>
      <c r="E272" s="236">
        <v>61102.62</v>
      </c>
      <c r="F272" s="236">
        <v>432708.06</v>
      </c>
      <c r="G272" s="236">
        <v>-371605.44</v>
      </c>
      <c r="I272" s="320">
        <f t="shared" si="21"/>
        <v>0</v>
      </c>
      <c r="J272" s="320">
        <f t="shared" si="22"/>
        <v>61.10262</v>
      </c>
      <c r="K272" s="320">
        <f t="shared" si="23"/>
        <v>432.70806</v>
      </c>
      <c r="L272" s="320">
        <f t="shared" si="24"/>
        <v>-371.60544</v>
      </c>
    </row>
    <row r="273" spans="2:21" s="228" customFormat="1" ht="19.5" customHeight="1">
      <c r="B273" s="253" t="s">
        <v>898</v>
      </c>
      <c r="C273" s="254" t="s">
        <v>442</v>
      </c>
      <c r="D273" s="255">
        <v>0</v>
      </c>
      <c r="E273" s="255">
        <v>349494.19</v>
      </c>
      <c r="F273" s="255">
        <v>1179674.75</v>
      </c>
      <c r="G273" s="255">
        <v>-830180.56</v>
      </c>
      <c r="H273" s="256"/>
      <c r="I273" s="321">
        <f t="shared" si="21"/>
        <v>0</v>
      </c>
      <c r="J273" s="321">
        <f t="shared" si="22"/>
        <v>349.49419</v>
      </c>
      <c r="K273" s="321">
        <f t="shared" si="23"/>
        <v>1179.67475</v>
      </c>
      <c r="L273" s="321">
        <f t="shared" si="24"/>
        <v>-830.18056</v>
      </c>
      <c r="O273" s="252"/>
      <c r="P273" s="252"/>
      <c r="Q273" s="252"/>
      <c r="R273" s="252"/>
      <c r="S273" s="252"/>
      <c r="T273" s="252"/>
      <c r="U273" s="252"/>
    </row>
    <row r="274" spans="2:12" ht="19.5" customHeight="1">
      <c r="B274" s="234" t="s">
        <v>899</v>
      </c>
      <c r="C274" s="235" t="s">
        <v>443</v>
      </c>
      <c r="D274" s="236">
        <v>0</v>
      </c>
      <c r="E274" s="236">
        <v>30412</v>
      </c>
      <c r="F274" s="236">
        <v>85688</v>
      </c>
      <c r="G274" s="236">
        <v>-55276</v>
      </c>
      <c r="I274" s="320">
        <f t="shared" si="21"/>
        <v>0</v>
      </c>
      <c r="J274" s="320">
        <f t="shared" si="22"/>
        <v>30.412</v>
      </c>
      <c r="K274" s="320">
        <f t="shared" si="23"/>
        <v>85.688</v>
      </c>
      <c r="L274" s="320">
        <f t="shared" si="24"/>
        <v>-55.276</v>
      </c>
    </row>
    <row r="275" spans="2:12" ht="19.5" customHeight="1">
      <c r="B275" s="234" t="s">
        <v>900</v>
      </c>
      <c r="C275" s="235" t="s">
        <v>444</v>
      </c>
      <c r="D275" s="236">
        <v>0</v>
      </c>
      <c r="E275" s="236">
        <v>191855.52</v>
      </c>
      <c r="F275" s="236">
        <v>743366.68</v>
      </c>
      <c r="G275" s="236">
        <v>-551511.16</v>
      </c>
      <c r="I275" s="320">
        <f t="shared" si="21"/>
        <v>0</v>
      </c>
      <c r="J275" s="320">
        <f t="shared" si="22"/>
        <v>191.85551999999998</v>
      </c>
      <c r="K275" s="320">
        <f t="shared" si="23"/>
        <v>743.3666800000001</v>
      </c>
      <c r="L275" s="320">
        <f t="shared" si="24"/>
        <v>-551.51116</v>
      </c>
    </row>
    <row r="276" spans="2:12" ht="19.5" customHeight="1">
      <c r="B276" s="234" t="s">
        <v>901</v>
      </c>
      <c r="C276" s="235" t="s">
        <v>445</v>
      </c>
      <c r="D276" s="236">
        <v>0</v>
      </c>
      <c r="E276" s="236">
        <v>70857</v>
      </c>
      <c r="F276" s="236">
        <v>196247</v>
      </c>
      <c r="G276" s="236">
        <v>-125390</v>
      </c>
      <c r="I276" s="320">
        <f t="shared" si="21"/>
        <v>0</v>
      </c>
      <c r="J276" s="320">
        <f t="shared" si="22"/>
        <v>70.857</v>
      </c>
      <c r="K276" s="320">
        <f t="shared" si="23"/>
        <v>196.247</v>
      </c>
      <c r="L276" s="320">
        <f t="shared" si="24"/>
        <v>-125.39</v>
      </c>
    </row>
    <row r="277" spans="2:12" ht="19.5" customHeight="1">
      <c r="B277" s="234" t="s">
        <v>902</v>
      </c>
      <c r="C277" s="235" t="s">
        <v>446</v>
      </c>
      <c r="D277" s="236">
        <v>0</v>
      </c>
      <c r="E277" s="236">
        <v>56369.67</v>
      </c>
      <c r="F277" s="236">
        <v>154373.07</v>
      </c>
      <c r="G277" s="236">
        <v>-98003.4</v>
      </c>
      <c r="I277" s="320">
        <f t="shared" si="21"/>
        <v>0</v>
      </c>
      <c r="J277" s="320">
        <f t="shared" si="22"/>
        <v>56.36967</v>
      </c>
      <c r="K277" s="320">
        <f t="shared" si="23"/>
        <v>154.37307</v>
      </c>
      <c r="L277" s="320">
        <f t="shared" si="24"/>
        <v>-98.0034</v>
      </c>
    </row>
    <row r="278" spans="2:21" s="228" customFormat="1" ht="19.5" customHeight="1">
      <c r="B278" s="253" t="s">
        <v>903</v>
      </c>
      <c r="C278" s="254" t="s">
        <v>447</v>
      </c>
      <c r="D278" s="255">
        <v>0</v>
      </c>
      <c r="E278" s="257">
        <v>625</v>
      </c>
      <c r="F278" s="255">
        <v>12119</v>
      </c>
      <c r="G278" s="255">
        <v>-11494</v>
      </c>
      <c r="H278" s="256"/>
      <c r="I278" s="321">
        <f t="shared" si="21"/>
        <v>0</v>
      </c>
      <c r="J278" s="321">
        <f t="shared" si="22"/>
        <v>0.625</v>
      </c>
      <c r="K278" s="321">
        <f t="shared" si="23"/>
        <v>12.119</v>
      </c>
      <c r="L278" s="321">
        <f t="shared" si="24"/>
        <v>-11.494</v>
      </c>
      <c r="O278" s="252"/>
      <c r="P278" s="252"/>
      <c r="Q278" s="252"/>
      <c r="R278" s="252"/>
      <c r="S278" s="252"/>
      <c r="T278" s="252"/>
      <c r="U278" s="252"/>
    </row>
    <row r="279" spans="2:21" s="228" customFormat="1" ht="19.5" customHeight="1">
      <c r="B279" s="233" t="s">
        <v>904</v>
      </c>
      <c r="C279" s="230" t="s">
        <v>447</v>
      </c>
      <c r="D279" s="231">
        <v>0</v>
      </c>
      <c r="E279" s="236">
        <v>625</v>
      </c>
      <c r="F279" s="231">
        <v>12119</v>
      </c>
      <c r="G279" s="231">
        <v>-11494</v>
      </c>
      <c r="H279" s="232"/>
      <c r="I279" s="320">
        <f t="shared" si="21"/>
        <v>0</v>
      </c>
      <c r="J279" s="320">
        <f t="shared" si="22"/>
        <v>0.625</v>
      </c>
      <c r="K279" s="320">
        <f t="shared" si="23"/>
        <v>12.119</v>
      </c>
      <c r="L279" s="320">
        <f t="shared" si="24"/>
        <v>-11.494</v>
      </c>
      <c r="O279" s="252"/>
      <c r="P279" s="252"/>
      <c r="Q279" s="252"/>
      <c r="R279" s="252"/>
      <c r="S279" s="252"/>
      <c r="T279" s="252"/>
      <c r="U279" s="252"/>
    </row>
    <row r="280" spans="2:12" ht="19.5" customHeight="1">
      <c r="B280" s="234" t="s">
        <v>905</v>
      </c>
      <c r="C280" s="235" t="s">
        <v>448</v>
      </c>
      <c r="D280" s="236">
        <v>0</v>
      </c>
      <c r="E280" s="236">
        <v>625</v>
      </c>
      <c r="F280" s="236">
        <v>12119</v>
      </c>
      <c r="G280" s="236">
        <v>-11494</v>
      </c>
      <c r="I280" s="320">
        <f t="shared" si="21"/>
        <v>0</v>
      </c>
      <c r="J280" s="320">
        <f t="shared" si="22"/>
        <v>0.625</v>
      </c>
      <c r="K280" s="320">
        <f t="shared" si="23"/>
        <v>12.119</v>
      </c>
      <c r="L280" s="320">
        <f t="shared" si="24"/>
        <v>-11.494</v>
      </c>
    </row>
    <row r="281" spans="2:21" s="228" customFormat="1" ht="19.5" customHeight="1">
      <c r="B281" s="233" t="s">
        <v>906</v>
      </c>
      <c r="C281" s="230" t="s">
        <v>449</v>
      </c>
      <c r="D281" s="231">
        <v>0</v>
      </c>
      <c r="E281" s="236">
        <v>52936.34</v>
      </c>
      <c r="F281" s="231">
        <v>815293.43</v>
      </c>
      <c r="G281" s="231">
        <v>-762357.09</v>
      </c>
      <c r="H281" s="232"/>
      <c r="I281" s="320">
        <f t="shared" si="21"/>
        <v>0</v>
      </c>
      <c r="J281" s="320">
        <f t="shared" si="22"/>
        <v>52.936339999999994</v>
      </c>
      <c r="K281" s="320">
        <f t="shared" si="23"/>
        <v>815.2934300000001</v>
      </c>
      <c r="L281" s="320">
        <f t="shared" si="24"/>
        <v>-762.35709</v>
      </c>
      <c r="O281" s="252"/>
      <c r="P281" s="252"/>
      <c r="Q281" s="252"/>
      <c r="R281" s="252"/>
      <c r="S281" s="252"/>
      <c r="T281" s="252"/>
      <c r="U281" s="252"/>
    </row>
    <row r="282" spans="2:21" s="228" customFormat="1" ht="19.5" customHeight="1">
      <c r="B282" s="233" t="s">
        <v>907</v>
      </c>
      <c r="C282" s="230" t="s">
        <v>450</v>
      </c>
      <c r="D282" s="231">
        <v>0</v>
      </c>
      <c r="E282" s="236">
        <v>52936.34</v>
      </c>
      <c r="F282" s="231">
        <v>815293.43</v>
      </c>
      <c r="G282" s="231">
        <v>-762357.09</v>
      </c>
      <c r="H282" s="232"/>
      <c r="I282" s="320">
        <f t="shared" si="21"/>
        <v>0</v>
      </c>
      <c r="J282" s="320">
        <f t="shared" si="22"/>
        <v>52.936339999999994</v>
      </c>
      <c r="K282" s="320">
        <f t="shared" si="23"/>
        <v>815.2934300000001</v>
      </c>
      <c r="L282" s="320">
        <f t="shared" si="24"/>
        <v>-762.35709</v>
      </c>
      <c r="O282" s="252"/>
      <c r="P282" s="252"/>
      <c r="Q282" s="252"/>
      <c r="R282" s="252"/>
      <c r="S282" s="252"/>
      <c r="T282" s="252"/>
      <c r="U282" s="252"/>
    </row>
    <row r="283" spans="2:12" ht="19.5" customHeight="1">
      <c r="B283" s="234" t="s">
        <v>908</v>
      </c>
      <c r="C283" s="235" t="s">
        <v>451</v>
      </c>
      <c r="D283" s="236">
        <v>0</v>
      </c>
      <c r="E283" s="236">
        <v>52936.34</v>
      </c>
      <c r="F283" s="236">
        <v>815293.43</v>
      </c>
      <c r="G283" s="236">
        <v>-762357.09</v>
      </c>
      <c r="I283" s="320">
        <f t="shared" si="21"/>
        <v>0</v>
      </c>
      <c r="J283" s="320">
        <f t="shared" si="22"/>
        <v>52.936339999999994</v>
      </c>
      <c r="K283" s="320">
        <f t="shared" si="23"/>
        <v>815.2934300000001</v>
      </c>
      <c r="L283" s="320">
        <f t="shared" si="24"/>
        <v>-762.35709</v>
      </c>
    </row>
    <row r="284" spans="2:21" s="228" customFormat="1" ht="19.5" customHeight="1">
      <c r="B284" s="233" t="s">
        <v>909</v>
      </c>
      <c r="C284" s="230" t="s">
        <v>452</v>
      </c>
      <c r="D284" s="231">
        <v>0</v>
      </c>
      <c r="E284" s="236">
        <v>4172155.83</v>
      </c>
      <c r="F284" s="236">
        <v>4172155.83</v>
      </c>
      <c r="G284" s="231">
        <v>0</v>
      </c>
      <c r="H284" s="232"/>
      <c r="I284" s="320">
        <f t="shared" si="21"/>
        <v>0</v>
      </c>
      <c r="J284" s="320">
        <f t="shared" si="22"/>
        <v>4172.15583</v>
      </c>
      <c r="K284" s="320">
        <f t="shared" si="23"/>
        <v>4172.15583</v>
      </c>
      <c r="L284" s="320">
        <f t="shared" si="24"/>
        <v>0</v>
      </c>
      <c r="O284" s="252"/>
      <c r="P284" s="252"/>
      <c r="Q284" s="252"/>
      <c r="R284" s="252"/>
      <c r="S284" s="252"/>
      <c r="T284" s="252"/>
      <c r="U284" s="252"/>
    </row>
    <row r="285" spans="2:21" s="228" customFormat="1" ht="19.5" customHeight="1">
      <c r="B285" s="233" t="s">
        <v>910</v>
      </c>
      <c r="C285" s="230" t="s">
        <v>453</v>
      </c>
      <c r="D285" s="231">
        <v>0</v>
      </c>
      <c r="E285" s="236">
        <v>4172155.83</v>
      </c>
      <c r="F285" s="236">
        <v>4172155.83</v>
      </c>
      <c r="G285" s="231">
        <v>0</v>
      </c>
      <c r="H285" s="232"/>
      <c r="I285" s="320">
        <f t="shared" si="21"/>
        <v>0</v>
      </c>
      <c r="J285" s="320">
        <f t="shared" si="22"/>
        <v>4172.15583</v>
      </c>
      <c r="K285" s="320">
        <f t="shared" si="23"/>
        <v>4172.15583</v>
      </c>
      <c r="L285" s="320">
        <f t="shared" si="24"/>
        <v>0</v>
      </c>
      <c r="O285" s="252"/>
      <c r="P285" s="252"/>
      <c r="Q285" s="252"/>
      <c r="R285" s="252"/>
      <c r="S285" s="252"/>
      <c r="T285" s="252"/>
      <c r="U285" s="252"/>
    </row>
    <row r="286" spans="2:12" ht="19.5" customHeight="1">
      <c r="B286" s="234" t="s">
        <v>911</v>
      </c>
      <c r="C286" s="235" t="s">
        <v>454</v>
      </c>
      <c r="D286" s="236">
        <v>0</v>
      </c>
      <c r="E286" s="236"/>
      <c r="F286" s="236">
        <v>3292658.04</v>
      </c>
      <c r="G286" s="236">
        <v>-3292658.04</v>
      </c>
      <c r="I286" s="320">
        <f t="shared" si="21"/>
        <v>0</v>
      </c>
      <c r="J286" s="320">
        <f t="shared" si="22"/>
        <v>0</v>
      </c>
      <c r="K286" s="320">
        <f t="shared" si="23"/>
        <v>3292.6580400000003</v>
      </c>
      <c r="L286" s="320">
        <f t="shared" si="24"/>
        <v>-3292.6580400000003</v>
      </c>
    </row>
    <row r="287" spans="2:12" ht="19.5" customHeight="1">
      <c r="B287" s="234" t="s">
        <v>912</v>
      </c>
      <c r="C287" s="235" t="s">
        <v>455</v>
      </c>
      <c r="D287" s="236">
        <v>0</v>
      </c>
      <c r="E287" s="236"/>
      <c r="F287" s="236">
        <v>879497.79</v>
      </c>
      <c r="G287" s="236">
        <v>-879497.79</v>
      </c>
      <c r="I287" s="320">
        <f t="shared" si="21"/>
        <v>0</v>
      </c>
      <c r="J287" s="320">
        <f t="shared" si="22"/>
        <v>0</v>
      </c>
      <c r="K287" s="320">
        <f t="shared" si="23"/>
        <v>879.49779</v>
      </c>
      <c r="L287" s="320">
        <f t="shared" si="24"/>
        <v>-879.49779</v>
      </c>
    </row>
    <row r="288" spans="2:12" ht="19.5" customHeight="1">
      <c r="B288" s="234" t="s">
        <v>913</v>
      </c>
      <c r="C288" s="235" t="s">
        <v>456</v>
      </c>
      <c r="D288" s="236">
        <v>0</v>
      </c>
      <c r="E288" s="236">
        <v>4172155.83</v>
      </c>
      <c r="F288" s="236"/>
      <c r="G288" s="236">
        <v>4172155.83</v>
      </c>
      <c r="I288" s="320">
        <f t="shared" si="21"/>
        <v>0</v>
      </c>
      <c r="J288" s="320">
        <f t="shared" si="22"/>
        <v>4172.15583</v>
      </c>
      <c r="K288" s="320">
        <f t="shared" si="23"/>
        <v>0</v>
      </c>
      <c r="L288" s="320">
        <f t="shared" si="24"/>
        <v>4172.15583</v>
      </c>
    </row>
    <row r="289" spans="2:21" s="228" customFormat="1" ht="19.5" customHeight="1">
      <c r="B289" s="253" t="s">
        <v>914</v>
      </c>
      <c r="C289" s="254" t="s">
        <v>241</v>
      </c>
      <c r="D289" s="255">
        <v>0</v>
      </c>
      <c r="E289" s="257">
        <v>37.47</v>
      </c>
      <c r="F289" s="255">
        <v>115352.75</v>
      </c>
      <c r="G289" s="255">
        <v>-115315.28</v>
      </c>
      <c r="H289" s="256"/>
      <c r="I289" s="321">
        <f aca="true" t="shared" si="25" ref="I289:I352">D289/1000</f>
        <v>0</v>
      </c>
      <c r="J289" s="321">
        <f aca="true" t="shared" si="26" ref="J289:J352">E289/1000</f>
        <v>0.037469999999999996</v>
      </c>
      <c r="K289" s="321">
        <f aca="true" t="shared" si="27" ref="K289:K352">F289/1000</f>
        <v>115.35275</v>
      </c>
      <c r="L289" s="321">
        <f aca="true" t="shared" si="28" ref="L289:L352">G289/1000</f>
        <v>-115.31528</v>
      </c>
      <c r="O289" s="252"/>
      <c r="P289" s="252"/>
      <c r="Q289" s="252"/>
      <c r="R289" s="252"/>
      <c r="S289" s="252"/>
      <c r="T289" s="252"/>
      <c r="U289" s="252"/>
    </row>
    <row r="290" spans="2:21" s="228" customFormat="1" ht="19.5" customHeight="1">
      <c r="B290" s="233" t="s">
        <v>915</v>
      </c>
      <c r="C290" s="230" t="s">
        <v>241</v>
      </c>
      <c r="D290" s="231">
        <v>0</v>
      </c>
      <c r="E290" s="236">
        <v>37.47</v>
      </c>
      <c r="F290" s="231">
        <v>115352.75</v>
      </c>
      <c r="G290" s="231">
        <v>-115315.28</v>
      </c>
      <c r="H290" s="232"/>
      <c r="I290" s="320">
        <f t="shared" si="25"/>
        <v>0</v>
      </c>
      <c r="J290" s="320">
        <f t="shared" si="26"/>
        <v>0.037469999999999996</v>
      </c>
      <c r="K290" s="320">
        <f t="shared" si="27"/>
        <v>115.35275</v>
      </c>
      <c r="L290" s="320">
        <f t="shared" si="28"/>
        <v>-115.31528</v>
      </c>
      <c r="O290" s="252"/>
      <c r="P290" s="252"/>
      <c r="Q290" s="252"/>
      <c r="R290" s="252"/>
      <c r="S290" s="252"/>
      <c r="T290" s="252"/>
      <c r="U290" s="252"/>
    </row>
    <row r="291" spans="2:12" ht="19.5" customHeight="1">
      <c r="B291" s="234" t="s">
        <v>916</v>
      </c>
      <c r="C291" s="235" t="s">
        <v>457</v>
      </c>
      <c r="D291" s="236">
        <v>0</v>
      </c>
      <c r="E291" s="236"/>
      <c r="F291" s="236">
        <v>5109.07</v>
      </c>
      <c r="G291" s="236">
        <v>-5109.07</v>
      </c>
      <c r="I291" s="320">
        <f t="shared" si="25"/>
        <v>0</v>
      </c>
      <c r="J291" s="320">
        <f t="shared" si="26"/>
        <v>0</v>
      </c>
      <c r="K291" s="320">
        <f t="shared" si="27"/>
        <v>5.10907</v>
      </c>
      <c r="L291" s="320">
        <f t="shared" si="28"/>
        <v>-5.10907</v>
      </c>
    </row>
    <row r="292" spans="2:12" ht="19.5" customHeight="1">
      <c r="B292" s="234" t="s">
        <v>917</v>
      </c>
      <c r="C292" s="235" t="s">
        <v>458</v>
      </c>
      <c r="D292" s="236">
        <v>0</v>
      </c>
      <c r="E292" s="236">
        <v>37.47</v>
      </c>
      <c r="F292" s="236">
        <v>13774.34</v>
      </c>
      <c r="G292" s="236">
        <v>-13736.87</v>
      </c>
      <c r="I292" s="320">
        <f t="shared" si="25"/>
        <v>0</v>
      </c>
      <c r="J292" s="320">
        <f t="shared" si="26"/>
        <v>0.037469999999999996</v>
      </c>
      <c r="K292" s="320">
        <f t="shared" si="27"/>
        <v>13.77434</v>
      </c>
      <c r="L292" s="320">
        <f t="shared" si="28"/>
        <v>-13.736870000000001</v>
      </c>
    </row>
    <row r="293" spans="2:12" ht="19.5" customHeight="1">
      <c r="B293" s="234" t="s">
        <v>918</v>
      </c>
      <c r="C293" s="235" t="s">
        <v>459</v>
      </c>
      <c r="D293" s="236">
        <v>0</v>
      </c>
      <c r="E293" s="236"/>
      <c r="F293" s="236">
        <v>96469.34</v>
      </c>
      <c r="G293" s="236">
        <v>-96469.34</v>
      </c>
      <c r="I293" s="320">
        <f t="shared" si="25"/>
        <v>0</v>
      </c>
      <c r="J293" s="320">
        <f t="shared" si="26"/>
        <v>0</v>
      </c>
      <c r="K293" s="320">
        <f t="shared" si="27"/>
        <v>96.46934</v>
      </c>
      <c r="L293" s="320">
        <f t="shared" si="28"/>
        <v>-96.46934</v>
      </c>
    </row>
    <row r="294" spans="2:21" s="228" customFormat="1" ht="19.5" customHeight="1">
      <c r="B294" s="253" t="s">
        <v>919</v>
      </c>
      <c r="C294" s="254" t="s">
        <v>460</v>
      </c>
      <c r="D294" s="255">
        <v>0</v>
      </c>
      <c r="E294" s="255">
        <v>5540485.8</v>
      </c>
      <c r="F294" s="255">
        <v>10148257.37</v>
      </c>
      <c r="G294" s="255">
        <v>-4607771.57</v>
      </c>
      <c r="H294" s="256"/>
      <c r="I294" s="321">
        <f t="shared" si="25"/>
        <v>0</v>
      </c>
      <c r="J294" s="321">
        <f t="shared" si="26"/>
        <v>5540.4857999999995</v>
      </c>
      <c r="K294" s="321">
        <f t="shared" si="27"/>
        <v>10148.25737</v>
      </c>
      <c r="L294" s="321">
        <f t="shared" si="28"/>
        <v>-4607.77157</v>
      </c>
      <c r="O294" s="252"/>
      <c r="P294" s="252"/>
      <c r="Q294" s="252"/>
      <c r="R294" s="252"/>
      <c r="S294" s="252"/>
      <c r="T294" s="252"/>
      <c r="U294" s="252"/>
    </row>
    <row r="295" spans="2:21" s="228" customFormat="1" ht="19.5" customHeight="1">
      <c r="B295" s="233" t="s">
        <v>920</v>
      </c>
      <c r="C295" s="230" t="s">
        <v>461</v>
      </c>
      <c r="D295" s="231">
        <v>0</v>
      </c>
      <c r="E295" s="231">
        <v>2067.29</v>
      </c>
      <c r="F295" s="231">
        <v>2963771.54</v>
      </c>
      <c r="G295" s="231">
        <v>-2961704.25</v>
      </c>
      <c r="H295" s="232"/>
      <c r="I295" s="320">
        <f t="shared" si="25"/>
        <v>0</v>
      </c>
      <c r="J295" s="320">
        <f t="shared" si="26"/>
        <v>2.06729</v>
      </c>
      <c r="K295" s="320">
        <f t="shared" si="27"/>
        <v>2963.77154</v>
      </c>
      <c r="L295" s="320">
        <f t="shared" si="28"/>
        <v>-2961.70425</v>
      </c>
      <c r="O295" s="252"/>
      <c r="P295" s="252"/>
      <c r="Q295" s="252"/>
      <c r="R295" s="252"/>
      <c r="S295" s="252"/>
      <c r="T295" s="252"/>
      <c r="U295" s="252"/>
    </row>
    <row r="296" spans="2:21" s="228" customFormat="1" ht="19.5" customHeight="1">
      <c r="B296" s="233" t="s">
        <v>921</v>
      </c>
      <c r="C296" s="230" t="s">
        <v>461</v>
      </c>
      <c r="D296" s="231">
        <v>0</v>
      </c>
      <c r="E296" s="231">
        <v>2067.29</v>
      </c>
      <c r="F296" s="231">
        <v>2963771.54</v>
      </c>
      <c r="G296" s="231">
        <v>-2961704.25</v>
      </c>
      <c r="H296" s="232"/>
      <c r="I296" s="320">
        <f t="shared" si="25"/>
        <v>0</v>
      </c>
      <c r="J296" s="320">
        <f t="shared" si="26"/>
        <v>2.06729</v>
      </c>
      <c r="K296" s="320">
        <f t="shared" si="27"/>
        <v>2963.77154</v>
      </c>
      <c r="L296" s="320">
        <f t="shared" si="28"/>
        <v>-2961.70425</v>
      </c>
      <c r="O296" s="252"/>
      <c r="P296" s="252"/>
      <c r="Q296" s="252"/>
      <c r="R296" s="252"/>
      <c r="S296" s="252"/>
      <c r="T296" s="252"/>
      <c r="U296" s="252"/>
    </row>
    <row r="297" spans="2:12" ht="19.5" customHeight="1">
      <c r="B297" s="234" t="s">
        <v>922</v>
      </c>
      <c r="C297" s="235" t="s">
        <v>462</v>
      </c>
      <c r="D297" s="236">
        <v>0</v>
      </c>
      <c r="E297" s="236">
        <v>2067.29</v>
      </c>
      <c r="F297" s="236">
        <v>2857337.47</v>
      </c>
      <c r="G297" s="236">
        <v>-2855270.18</v>
      </c>
      <c r="I297" s="320">
        <f t="shared" si="25"/>
        <v>0</v>
      </c>
      <c r="J297" s="320">
        <f t="shared" si="26"/>
        <v>2.06729</v>
      </c>
      <c r="K297" s="320">
        <f t="shared" si="27"/>
        <v>2857.3374700000004</v>
      </c>
      <c r="L297" s="320">
        <f t="shared" si="28"/>
        <v>-2855.27018</v>
      </c>
    </row>
    <row r="298" spans="2:12" ht="19.5" customHeight="1">
      <c r="B298" s="234" t="s">
        <v>923</v>
      </c>
      <c r="C298" s="235" t="s">
        <v>463</v>
      </c>
      <c r="D298" s="236">
        <v>0</v>
      </c>
      <c r="E298" s="236"/>
      <c r="F298" s="236">
        <v>56913.05</v>
      </c>
      <c r="G298" s="236">
        <v>-56913.05</v>
      </c>
      <c r="I298" s="320">
        <f t="shared" si="25"/>
        <v>0</v>
      </c>
      <c r="J298" s="320">
        <f t="shared" si="26"/>
        <v>0</v>
      </c>
      <c r="K298" s="320">
        <f t="shared" si="27"/>
        <v>56.913050000000005</v>
      </c>
      <c r="L298" s="320">
        <f t="shared" si="28"/>
        <v>-56.913050000000005</v>
      </c>
    </row>
    <row r="299" spans="2:12" ht="19.5" customHeight="1">
      <c r="B299" s="234" t="s">
        <v>924</v>
      </c>
      <c r="C299" s="235" t="s">
        <v>464</v>
      </c>
      <c r="D299" s="236">
        <v>0</v>
      </c>
      <c r="E299" s="236"/>
      <c r="F299" s="236">
        <v>49521.02</v>
      </c>
      <c r="G299" s="236">
        <v>-49521.02</v>
      </c>
      <c r="I299" s="320">
        <f t="shared" si="25"/>
        <v>0</v>
      </c>
      <c r="J299" s="320">
        <f t="shared" si="26"/>
        <v>0</v>
      </c>
      <c r="K299" s="320">
        <f t="shared" si="27"/>
        <v>49.52102</v>
      </c>
      <c r="L299" s="320">
        <f t="shared" si="28"/>
        <v>-49.52102</v>
      </c>
    </row>
    <row r="300" spans="2:21" s="228" customFormat="1" ht="19.5" customHeight="1">
      <c r="B300" s="233" t="s">
        <v>925</v>
      </c>
      <c r="C300" s="230" t="s">
        <v>465</v>
      </c>
      <c r="D300" s="231">
        <v>0</v>
      </c>
      <c r="E300" s="236">
        <v>5022531.73</v>
      </c>
      <c r="F300" s="236">
        <v>5022531.73</v>
      </c>
      <c r="G300" s="231">
        <v>0</v>
      </c>
      <c r="H300" s="232"/>
      <c r="I300" s="320">
        <f t="shared" si="25"/>
        <v>0</v>
      </c>
      <c r="J300" s="320">
        <f t="shared" si="26"/>
        <v>5022.531730000001</v>
      </c>
      <c r="K300" s="320">
        <f t="shared" si="27"/>
        <v>5022.531730000001</v>
      </c>
      <c r="L300" s="320">
        <f t="shared" si="28"/>
        <v>0</v>
      </c>
      <c r="O300" s="252"/>
      <c r="P300" s="252"/>
      <c r="Q300" s="252"/>
      <c r="R300" s="252"/>
      <c r="S300" s="252"/>
      <c r="T300" s="252"/>
      <c r="U300" s="252"/>
    </row>
    <row r="301" spans="2:21" s="228" customFormat="1" ht="19.5" customHeight="1">
      <c r="B301" s="233" t="s">
        <v>926</v>
      </c>
      <c r="C301" s="230" t="s">
        <v>466</v>
      </c>
      <c r="D301" s="231">
        <v>0</v>
      </c>
      <c r="E301" s="236">
        <v>5022531.73</v>
      </c>
      <c r="F301" s="236">
        <v>5022531.73</v>
      </c>
      <c r="G301" s="231">
        <v>0</v>
      </c>
      <c r="H301" s="232"/>
      <c r="I301" s="320">
        <f t="shared" si="25"/>
        <v>0</v>
      </c>
      <c r="J301" s="320">
        <f t="shared" si="26"/>
        <v>5022.531730000001</v>
      </c>
      <c r="K301" s="320">
        <f t="shared" si="27"/>
        <v>5022.531730000001</v>
      </c>
      <c r="L301" s="320">
        <f t="shared" si="28"/>
        <v>0</v>
      </c>
      <c r="O301" s="252"/>
      <c r="P301" s="252"/>
      <c r="Q301" s="252"/>
      <c r="R301" s="252"/>
      <c r="S301" s="252"/>
      <c r="T301" s="252"/>
      <c r="U301" s="252"/>
    </row>
    <row r="302" spans="2:12" ht="19.5" customHeight="1">
      <c r="B302" s="234" t="s">
        <v>927</v>
      </c>
      <c r="C302" s="235" t="s">
        <v>467</v>
      </c>
      <c r="D302" s="236">
        <v>0</v>
      </c>
      <c r="E302" s="236"/>
      <c r="F302" s="236">
        <v>5022531.73</v>
      </c>
      <c r="G302" s="236">
        <v>-5022531.73</v>
      </c>
      <c r="I302" s="320">
        <f t="shared" si="25"/>
        <v>0</v>
      </c>
      <c r="J302" s="320">
        <f t="shared" si="26"/>
        <v>0</v>
      </c>
      <c r="K302" s="320">
        <f t="shared" si="27"/>
        <v>5022.531730000001</v>
      </c>
      <c r="L302" s="320">
        <f t="shared" si="28"/>
        <v>-5022.531730000001</v>
      </c>
    </row>
    <row r="303" spans="2:12" ht="19.5" customHeight="1">
      <c r="B303" s="234" t="s">
        <v>928</v>
      </c>
      <c r="C303" s="235" t="s">
        <v>456</v>
      </c>
      <c r="D303" s="236">
        <v>0</v>
      </c>
      <c r="E303" s="236">
        <v>5022531.73</v>
      </c>
      <c r="F303" s="236"/>
      <c r="G303" s="236">
        <v>5022531.73</v>
      </c>
      <c r="I303" s="320">
        <f t="shared" si="25"/>
        <v>0</v>
      </c>
      <c r="J303" s="320">
        <f t="shared" si="26"/>
        <v>5022.531730000001</v>
      </c>
      <c r="K303" s="320">
        <f t="shared" si="27"/>
        <v>0</v>
      </c>
      <c r="L303" s="320">
        <f t="shared" si="28"/>
        <v>5022.531730000001</v>
      </c>
    </row>
    <row r="304" spans="2:21" s="228" customFormat="1" ht="19.5" customHeight="1">
      <c r="B304" s="233" t="s">
        <v>929</v>
      </c>
      <c r="C304" s="230" t="s">
        <v>468</v>
      </c>
      <c r="D304" s="231">
        <v>0</v>
      </c>
      <c r="E304" s="236">
        <v>515886.78</v>
      </c>
      <c r="F304" s="236">
        <v>515886.78</v>
      </c>
      <c r="G304" s="231">
        <v>0</v>
      </c>
      <c r="H304" s="232"/>
      <c r="I304" s="320">
        <f t="shared" si="25"/>
        <v>0</v>
      </c>
      <c r="J304" s="320">
        <f t="shared" si="26"/>
        <v>515.88678</v>
      </c>
      <c r="K304" s="320">
        <f t="shared" si="27"/>
        <v>515.88678</v>
      </c>
      <c r="L304" s="320">
        <f t="shared" si="28"/>
        <v>0</v>
      </c>
      <c r="O304" s="252"/>
      <c r="P304" s="252"/>
      <c r="Q304" s="252"/>
      <c r="R304" s="252"/>
      <c r="S304" s="252"/>
      <c r="T304" s="252"/>
      <c r="U304" s="252"/>
    </row>
    <row r="305" spans="2:21" s="228" customFormat="1" ht="19.5" customHeight="1">
      <c r="B305" s="233" t="s">
        <v>930</v>
      </c>
      <c r="C305" s="230" t="s">
        <v>469</v>
      </c>
      <c r="D305" s="231">
        <v>0</v>
      </c>
      <c r="E305" s="236">
        <v>515886.78</v>
      </c>
      <c r="F305" s="236">
        <v>515886.78</v>
      </c>
      <c r="G305" s="231">
        <v>0</v>
      </c>
      <c r="H305" s="232"/>
      <c r="I305" s="320">
        <f t="shared" si="25"/>
        <v>0</v>
      </c>
      <c r="J305" s="320">
        <f t="shared" si="26"/>
        <v>515.88678</v>
      </c>
      <c r="K305" s="320">
        <f t="shared" si="27"/>
        <v>515.88678</v>
      </c>
      <c r="L305" s="320">
        <f t="shared" si="28"/>
        <v>0</v>
      </c>
      <c r="O305" s="252"/>
      <c r="P305" s="252"/>
      <c r="Q305" s="252"/>
      <c r="R305" s="252"/>
      <c r="S305" s="252"/>
      <c r="T305" s="252"/>
      <c r="U305" s="252"/>
    </row>
    <row r="306" spans="2:12" ht="19.5" customHeight="1">
      <c r="B306" s="234" t="s">
        <v>931</v>
      </c>
      <c r="C306" s="235" t="s">
        <v>470</v>
      </c>
      <c r="D306" s="236">
        <v>0</v>
      </c>
      <c r="E306" s="236"/>
      <c r="F306" s="236">
        <v>515886.78</v>
      </c>
      <c r="G306" s="236">
        <v>-515886.78</v>
      </c>
      <c r="I306" s="320">
        <f t="shared" si="25"/>
        <v>0</v>
      </c>
      <c r="J306" s="320">
        <f t="shared" si="26"/>
        <v>0</v>
      </c>
      <c r="K306" s="320">
        <f t="shared" si="27"/>
        <v>515.88678</v>
      </c>
      <c r="L306" s="320">
        <f t="shared" si="28"/>
        <v>-515.88678</v>
      </c>
    </row>
    <row r="307" spans="2:12" ht="19.5" customHeight="1">
      <c r="B307" s="234" t="s">
        <v>932</v>
      </c>
      <c r="C307" s="235" t="s">
        <v>471</v>
      </c>
      <c r="D307" s="236">
        <v>0</v>
      </c>
      <c r="E307" s="236">
        <v>515886.78</v>
      </c>
      <c r="F307" s="236"/>
      <c r="G307" s="236">
        <v>515886.78</v>
      </c>
      <c r="I307" s="320">
        <f t="shared" si="25"/>
        <v>0</v>
      </c>
      <c r="J307" s="320">
        <f t="shared" si="26"/>
        <v>515.88678</v>
      </c>
      <c r="K307" s="320">
        <f t="shared" si="27"/>
        <v>0</v>
      </c>
      <c r="L307" s="320">
        <f t="shared" si="28"/>
        <v>515.88678</v>
      </c>
    </row>
    <row r="308" spans="2:21" s="228" customFormat="1" ht="19.5" customHeight="1">
      <c r="B308" s="233" t="s">
        <v>933</v>
      </c>
      <c r="C308" s="230" t="s">
        <v>472</v>
      </c>
      <c r="D308" s="231">
        <v>0</v>
      </c>
      <c r="E308" s="236"/>
      <c r="F308" s="231">
        <v>1646067.32</v>
      </c>
      <c r="G308" s="231">
        <v>-1646067.32</v>
      </c>
      <c r="H308" s="232"/>
      <c r="I308" s="320">
        <f t="shared" si="25"/>
        <v>0</v>
      </c>
      <c r="J308" s="320">
        <f t="shared" si="26"/>
        <v>0</v>
      </c>
      <c r="K308" s="320">
        <f t="shared" si="27"/>
        <v>1646.06732</v>
      </c>
      <c r="L308" s="320">
        <f t="shared" si="28"/>
        <v>-1646.06732</v>
      </c>
      <c r="O308" s="252"/>
      <c r="P308" s="252"/>
      <c r="Q308" s="252"/>
      <c r="R308" s="252"/>
      <c r="S308" s="252"/>
      <c r="T308" s="252"/>
      <c r="U308" s="252"/>
    </row>
    <row r="309" spans="2:21" s="228" customFormat="1" ht="19.5" customHeight="1">
      <c r="B309" s="233" t="s">
        <v>934</v>
      </c>
      <c r="C309" s="230" t="s">
        <v>473</v>
      </c>
      <c r="D309" s="231">
        <v>0</v>
      </c>
      <c r="E309" s="236"/>
      <c r="F309" s="231">
        <v>1646067.32</v>
      </c>
      <c r="G309" s="231">
        <v>-1646067.32</v>
      </c>
      <c r="H309" s="232"/>
      <c r="I309" s="320">
        <f t="shared" si="25"/>
        <v>0</v>
      </c>
      <c r="J309" s="320">
        <f t="shared" si="26"/>
        <v>0</v>
      </c>
      <c r="K309" s="320">
        <f t="shared" si="27"/>
        <v>1646.06732</v>
      </c>
      <c r="L309" s="320">
        <f t="shared" si="28"/>
        <v>-1646.06732</v>
      </c>
      <c r="O309" s="252"/>
      <c r="P309" s="252"/>
      <c r="Q309" s="252"/>
      <c r="R309" s="252"/>
      <c r="S309" s="252"/>
      <c r="T309" s="252"/>
      <c r="U309" s="252"/>
    </row>
    <row r="310" spans="2:12" ht="19.5" customHeight="1">
      <c r="B310" s="234" t="s">
        <v>935</v>
      </c>
      <c r="C310" s="235" t="s">
        <v>473</v>
      </c>
      <c r="D310" s="236">
        <v>0</v>
      </c>
      <c r="E310" s="236"/>
      <c r="F310" s="236">
        <v>1646067.32</v>
      </c>
      <c r="G310" s="236">
        <v>-1646067.32</v>
      </c>
      <c r="I310" s="320">
        <f t="shared" si="25"/>
        <v>0</v>
      </c>
      <c r="J310" s="320">
        <f t="shared" si="26"/>
        <v>0</v>
      </c>
      <c r="K310" s="320">
        <f t="shared" si="27"/>
        <v>1646.06732</v>
      </c>
      <c r="L310" s="320">
        <f t="shared" si="28"/>
        <v>-1646.06732</v>
      </c>
    </row>
    <row r="311" spans="2:21" s="228" customFormat="1" ht="19.5" customHeight="1">
      <c r="B311" s="233" t="s">
        <v>936</v>
      </c>
      <c r="C311" s="230" t="s">
        <v>242</v>
      </c>
      <c r="D311" s="231">
        <v>0</v>
      </c>
      <c r="E311" s="231">
        <v>50225955.72</v>
      </c>
      <c r="F311" s="231">
        <v>8204027.86</v>
      </c>
      <c r="G311" s="231">
        <v>42021927.86</v>
      </c>
      <c r="H311" s="232"/>
      <c r="I311" s="320">
        <f t="shared" si="25"/>
        <v>0</v>
      </c>
      <c r="J311" s="320">
        <f t="shared" si="26"/>
        <v>50225.95572</v>
      </c>
      <c r="K311" s="320">
        <f t="shared" si="27"/>
        <v>8204.02786</v>
      </c>
      <c r="L311" s="320">
        <f t="shared" si="28"/>
        <v>42021.927859999996</v>
      </c>
      <c r="O311" s="252"/>
      <c r="P311" s="252"/>
      <c r="Q311" s="252"/>
      <c r="R311" s="252"/>
      <c r="S311" s="252"/>
      <c r="T311" s="252"/>
      <c r="U311" s="252"/>
    </row>
    <row r="312" spans="2:21" s="228" customFormat="1" ht="19.5" customHeight="1">
      <c r="B312" s="233" t="s">
        <v>937</v>
      </c>
      <c r="C312" s="230" t="s">
        <v>243</v>
      </c>
      <c r="D312" s="231">
        <v>0</v>
      </c>
      <c r="E312" s="231">
        <v>50225955.72</v>
      </c>
      <c r="F312" s="231">
        <v>8204027.86</v>
      </c>
      <c r="G312" s="231">
        <v>42021927.86</v>
      </c>
      <c r="H312" s="232"/>
      <c r="I312" s="320">
        <f t="shared" si="25"/>
        <v>0</v>
      </c>
      <c r="J312" s="320">
        <f t="shared" si="26"/>
        <v>50225.95572</v>
      </c>
      <c r="K312" s="320">
        <f t="shared" si="27"/>
        <v>8204.02786</v>
      </c>
      <c r="L312" s="320">
        <f t="shared" si="28"/>
        <v>42021.927859999996</v>
      </c>
      <c r="O312" s="252"/>
      <c r="P312" s="252"/>
      <c r="Q312" s="252"/>
      <c r="R312" s="252"/>
      <c r="S312" s="252"/>
      <c r="T312" s="252"/>
      <c r="U312" s="252"/>
    </row>
    <row r="313" spans="2:21" s="228" customFormat="1" ht="19.5" customHeight="1">
      <c r="B313" s="233" t="s">
        <v>938</v>
      </c>
      <c r="C313" s="230" t="s">
        <v>39</v>
      </c>
      <c r="D313" s="231">
        <v>0</v>
      </c>
      <c r="E313" s="231">
        <v>4508425.99</v>
      </c>
      <c r="F313" s="236">
        <v>279323.91</v>
      </c>
      <c r="G313" s="231">
        <v>4229102.08</v>
      </c>
      <c r="H313" s="232"/>
      <c r="I313" s="320">
        <f t="shared" si="25"/>
        <v>0</v>
      </c>
      <c r="J313" s="320">
        <f t="shared" si="26"/>
        <v>4508.425990000001</v>
      </c>
      <c r="K313" s="320">
        <f t="shared" si="27"/>
        <v>279.32390999999996</v>
      </c>
      <c r="L313" s="320">
        <f t="shared" si="28"/>
        <v>4229.10208</v>
      </c>
      <c r="O313" s="252"/>
      <c r="P313" s="252"/>
      <c r="Q313" s="252"/>
      <c r="R313" s="252"/>
      <c r="S313" s="252"/>
      <c r="T313" s="252"/>
      <c r="U313" s="252"/>
    </row>
    <row r="314" spans="2:21" s="228" customFormat="1" ht="19.5" customHeight="1">
      <c r="B314" s="253" t="s">
        <v>939</v>
      </c>
      <c r="C314" s="254" t="s">
        <v>474</v>
      </c>
      <c r="D314" s="255">
        <v>0</v>
      </c>
      <c r="E314" s="255">
        <v>4508425.99</v>
      </c>
      <c r="F314" s="257">
        <v>279323.91</v>
      </c>
      <c r="G314" s="255">
        <v>4229102.08</v>
      </c>
      <c r="H314" s="256"/>
      <c r="I314" s="321">
        <f t="shared" si="25"/>
        <v>0</v>
      </c>
      <c r="J314" s="321">
        <f t="shared" si="26"/>
        <v>4508.425990000001</v>
      </c>
      <c r="K314" s="321">
        <f t="shared" si="27"/>
        <v>279.32390999999996</v>
      </c>
      <c r="L314" s="321">
        <f t="shared" si="28"/>
        <v>4229.10208</v>
      </c>
      <c r="O314" s="252"/>
      <c r="P314" s="252"/>
      <c r="Q314" s="252"/>
      <c r="R314" s="252"/>
      <c r="S314" s="252"/>
      <c r="T314" s="252"/>
      <c r="U314" s="252"/>
    </row>
    <row r="315" spans="2:12" ht="19.5" customHeight="1">
      <c r="B315" s="234" t="s">
        <v>940</v>
      </c>
      <c r="C315" s="235" t="s">
        <v>475</v>
      </c>
      <c r="D315" s="236">
        <v>0</v>
      </c>
      <c r="E315" s="236">
        <v>149711.38</v>
      </c>
      <c r="F315" s="236"/>
      <c r="G315" s="236">
        <v>149711.38</v>
      </c>
      <c r="I315" s="320">
        <f t="shared" si="25"/>
        <v>0</v>
      </c>
      <c r="J315" s="320">
        <f t="shared" si="26"/>
        <v>149.71138</v>
      </c>
      <c r="K315" s="320">
        <f t="shared" si="27"/>
        <v>0</v>
      </c>
      <c r="L315" s="320">
        <f t="shared" si="28"/>
        <v>149.71138</v>
      </c>
    </row>
    <row r="316" spans="2:12" ht="19.5" customHeight="1">
      <c r="B316" s="234" t="s">
        <v>941</v>
      </c>
      <c r="C316" s="235" t="s">
        <v>476</v>
      </c>
      <c r="D316" s="236">
        <v>0</v>
      </c>
      <c r="E316" s="236">
        <v>93347.52</v>
      </c>
      <c r="F316" s="236"/>
      <c r="G316" s="236">
        <v>93347.52</v>
      </c>
      <c r="I316" s="320">
        <f t="shared" si="25"/>
        <v>0</v>
      </c>
      <c r="J316" s="320">
        <f t="shared" si="26"/>
        <v>93.34752</v>
      </c>
      <c r="K316" s="320">
        <f t="shared" si="27"/>
        <v>0</v>
      </c>
      <c r="L316" s="320">
        <f t="shared" si="28"/>
        <v>93.34752</v>
      </c>
    </row>
    <row r="317" spans="2:12" ht="19.5" customHeight="1">
      <c r="B317" s="234" t="s">
        <v>942</v>
      </c>
      <c r="C317" s="235" t="s">
        <v>477</v>
      </c>
      <c r="D317" s="236">
        <v>0</v>
      </c>
      <c r="E317" s="236">
        <v>90128</v>
      </c>
      <c r="F317" s="236">
        <v>7910</v>
      </c>
      <c r="G317" s="236">
        <v>82218</v>
      </c>
      <c r="H317" s="217"/>
      <c r="I317" s="320">
        <f t="shared" si="25"/>
        <v>0</v>
      </c>
      <c r="J317" s="320">
        <f t="shared" si="26"/>
        <v>90.128</v>
      </c>
      <c r="K317" s="320">
        <f t="shared" si="27"/>
        <v>7.91</v>
      </c>
      <c r="L317" s="320">
        <f t="shared" si="28"/>
        <v>82.218</v>
      </c>
    </row>
    <row r="318" spans="2:12" ht="19.5" customHeight="1">
      <c r="B318" s="234" t="s">
        <v>943</v>
      </c>
      <c r="C318" s="235" t="s">
        <v>478</v>
      </c>
      <c r="D318" s="236">
        <v>0</v>
      </c>
      <c r="E318" s="236">
        <v>267240.16</v>
      </c>
      <c r="F318" s="236">
        <v>3742.52</v>
      </c>
      <c r="G318" s="236">
        <v>263497.64</v>
      </c>
      <c r="H318" s="217"/>
      <c r="I318" s="320">
        <f t="shared" si="25"/>
        <v>0</v>
      </c>
      <c r="J318" s="320">
        <f t="shared" si="26"/>
        <v>267.24015999999995</v>
      </c>
      <c r="K318" s="320">
        <f t="shared" si="27"/>
        <v>3.74252</v>
      </c>
      <c r="L318" s="320">
        <f t="shared" si="28"/>
        <v>263.49764</v>
      </c>
    </row>
    <row r="319" spans="2:12" ht="19.5" customHeight="1">
      <c r="B319" s="234" t="s">
        <v>944</v>
      </c>
      <c r="C319" s="235" t="s">
        <v>479</v>
      </c>
      <c r="D319" s="236">
        <v>0</v>
      </c>
      <c r="E319" s="236">
        <v>958637.79</v>
      </c>
      <c r="F319" s="236">
        <v>44608.16</v>
      </c>
      <c r="G319" s="236">
        <v>914029.63</v>
      </c>
      <c r="H319" s="217"/>
      <c r="I319" s="320">
        <f t="shared" si="25"/>
        <v>0</v>
      </c>
      <c r="J319" s="320">
        <f t="shared" si="26"/>
        <v>958.63779</v>
      </c>
      <c r="K319" s="320">
        <f t="shared" si="27"/>
        <v>44.608160000000005</v>
      </c>
      <c r="L319" s="320">
        <f t="shared" si="28"/>
        <v>914.02963</v>
      </c>
    </row>
    <row r="320" spans="2:12" ht="19.5" customHeight="1">
      <c r="B320" s="234" t="s">
        <v>945</v>
      </c>
      <c r="C320" s="235" t="s">
        <v>480</v>
      </c>
      <c r="D320" s="236">
        <v>0</v>
      </c>
      <c r="E320" s="236">
        <v>718346.76</v>
      </c>
      <c r="F320" s="236">
        <v>32213.65</v>
      </c>
      <c r="G320" s="236">
        <v>686133.11</v>
      </c>
      <c r="H320" s="217"/>
      <c r="I320" s="320">
        <f t="shared" si="25"/>
        <v>0</v>
      </c>
      <c r="J320" s="320">
        <f t="shared" si="26"/>
        <v>718.34676</v>
      </c>
      <c r="K320" s="320">
        <f t="shared" si="27"/>
        <v>32.21365</v>
      </c>
      <c r="L320" s="320">
        <f t="shared" si="28"/>
        <v>686.13311</v>
      </c>
    </row>
    <row r="321" spans="2:12" ht="19.5" customHeight="1">
      <c r="B321" s="234" t="s">
        <v>946</v>
      </c>
      <c r="C321" s="235" t="s">
        <v>481</v>
      </c>
      <c r="D321" s="236">
        <v>0</v>
      </c>
      <c r="E321" s="236">
        <v>84372.61</v>
      </c>
      <c r="F321" s="236"/>
      <c r="G321" s="236">
        <v>84372.61</v>
      </c>
      <c r="H321" s="217"/>
      <c r="I321" s="320">
        <f t="shared" si="25"/>
        <v>0</v>
      </c>
      <c r="J321" s="320">
        <f t="shared" si="26"/>
        <v>84.37261</v>
      </c>
      <c r="K321" s="320">
        <f t="shared" si="27"/>
        <v>0</v>
      </c>
      <c r="L321" s="320">
        <f t="shared" si="28"/>
        <v>84.37261</v>
      </c>
    </row>
    <row r="322" spans="2:12" ht="19.5" customHeight="1">
      <c r="B322" s="234" t="s">
        <v>947</v>
      </c>
      <c r="C322" s="235" t="s">
        <v>482</v>
      </c>
      <c r="D322" s="236">
        <v>0</v>
      </c>
      <c r="E322" s="236">
        <v>196759.59</v>
      </c>
      <c r="F322" s="236">
        <v>16500</v>
      </c>
      <c r="G322" s="236">
        <v>180259.59</v>
      </c>
      <c r="H322" s="217"/>
      <c r="I322" s="320">
        <f t="shared" si="25"/>
        <v>0</v>
      </c>
      <c r="J322" s="320">
        <f t="shared" si="26"/>
        <v>196.75959</v>
      </c>
      <c r="K322" s="320">
        <f t="shared" si="27"/>
        <v>16.5</v>
      </c>
      <c r="L322" s="320">
        <f t="shared" si="28"/>
        <v>180.25959</v>
      </c>
    </row>
    <row r="323" spans="2:12" ht="19.5" customHeight="1">
      <c r="B323" s="234" t="s">
        <v>948</v>
      </c>
      <c r="C323" s="235" t="s">
        <v>483</v>
      </c>
      <c r="D323" s="236">
        <v>0</v>
      </c>
      <c r="E323" s="236">
        <v>231998.6</v>
      </c>
      <c r="F323" s="236">
        <v>16438.6</v>
      </c>
      <c r="G323" s="236">
        <v>215560</v>
      </c>
      <c r="H323" s="217"/>
      <c r="I323" s="320">
        <f t="shared" si="25"/>
        <v>0</v>
      </c>
      <c r="J323" s="320">
        <f t="shared" si="26"/>
        <v>231.9986</v>
      </c>
      <c r="K323" s="320">
        <f t="shared" si="27"/>
        <v>16.438599999999997</v>
      </c>
      <c r="L323" s="320">
        <f t="shared" si="28"/>
        <v>215.56</v>
      </c>
    </row>
    <row r="324" spans="2:12" ht="19.5" customHeight="1">
      <c r="B324" s="234" t="s">
        <v>949</v>
      </c>
      <c r="C324" s="235" t="s">
        <v>248</v>
      </c>
      <c r="D324" s="236">
        <v>0</v>
      </c>
      <c r="E324" s="236">
        <v>103462.17</v>
      </c>
      <c r="F324" s="236">
        <v>803.25</v>
      </c>
      <c r="G324" s="236">
        <v>102658.92</v>
      </c>
      <c r="H324" s="217"/>
      <c r="I324" s="320">
        <f t="shared" si="25"/>
        <v>0</v>
      </c>
      <c r="J324" s="320">
        <f t="shared" si="26"/>
        <v>103.46217</v>
      </c>
      <c r="K324" s="320">
        <f t="shared" si="27"/>
        <v>0.80325</v>
      </c>
      <c r="L324" s="320">
        <f t="shared" si="28"/>
        <v>102.65892</v>
      </c>
    </row>
    <row r="325" spans="2:12" ht="19.5" customHeight="1">
      <c r="B325" s="234" t="s">
        <v>950</v>
      </c>
      <c r="C325" s="235" t="s">
        <v>484</v>
      </c>
      <c r="D325" s="236">
        <v>0</v>
      </c>
      <c r="E325" s="236">
        <v>263948</v>
      </c>
      <c r="F325" s="236">
        <v>896</v>
      </c>
      <c r="G325" s="236">
        <v>263052</v>
      </c>
      <c r="H325" s="217"/>
      <c r="I325" s="320">
        <f t="shared" si="25"/>
        <v>0</v>
      </c>
      <c r="J325" s="320">
        <f t="shared" si="26"/>
        <v>263.948</v>
      </c>
      <c r="K325" s="320">
        <f t="shared" si="27"/>
        <v>0.896</v>
      </c>
      <c r="L325" s="320">
        <f t="shared" si="28"/>
        <v>263.052</v>
      </c>
    </row>
    <row r="326" spans="2:12" ht="19.5" customHeight="1">
      <c r="B326" s="234" t="s">
        <v>951</v>
      </c>
      <c r="C326" s="235" t="s">
        <v>485</v>
      </c>
      <c r="D326" s="236">
        <v>0</v>
      </c>
      <c r="E326" s="236">
        <v>79950</v>
      </c>
      <c r="F326" s="236"/>
      <c r="G326" s="236">
        <v>79950</v>
      </c>
      <c r="H326" s="217"/>
      <c r="I326" s="320">
        <f t="shared" si="25"/>
        <v>0</v>
      </c>
      <c r="J326" s="320">
        <f t="shared" si="26"/>
        <v>79.95</v>
      </c>
      <c r="K326" s="320">
        <f t="shared" si="27"/>
        <v>0</v>
      </c>
      <c r="L326" s="320">
        <f t="shared" si="28"/>
        <v>79.95</v>
      </c>
    </row>
    <row r="327" spans="2:12" ht="19.5" customHeight="1">
      <c r="B327" s="234" t="s">
        <v>952</v>
      </c>
      <c r="C327" s="235" t="s">
        <v>486</v>
      </c>
      <c r="D327" s="236">
        <v>0</v>
      </c>
      <c r="E327" s="236">
        <v>98926.5</v>
      </c>
      <c r="F327" s="236">
        <v>3000</v>
      </c>
      <c r="G327" s="236">
        <v>95926.5</v>
      </c>
      <c r="H327" s="217"/>
      <c r="I327" s="320">
        <f t="shared" si="25"/>
        <v>0</v>
      </c>
      <c r="J327" s="320">
        <f t="shared" si="26"/>
        <v>98.9265</v>
      </c>
      <c r="K327" s="320">
        <f t="shared" si="27"/>
        <v>3</v>
      </c>
      <c r="L327" s="320">
        <f t="shared" si="28"/>
        <v>95.9265</v>
      </c>
    </row>
    <row r="328" spans="2:12" ht="19.5" customHeight="1">
      <c r="B328" s="234" t="s">
        <v>953</v>
      </c>
      <c r="C328" s="235" t="s">
        <v>487</v>
      </c>
      <c r="D328" s="236">
        <v>0</v>
      </c>
      <c r="E328" s="236">
        <v>252624.65</v>
      </c>
      <c r="F328" s="236">
        <v>20933.69</v>
      </c>
      <c r="G328" s="236">
        <v>231690.96</v>
      </c>
      <c r="H328" s="217"/>
      <c r="I328" s="320">
        <f t="shared" si="25"/>
        <v>0</v>
      </c>
      <c r="J328" s="320">
        <f t="shared" si="26"/>
        <v>252.62465</v>
      </c>
      <c r="K328" s="320">
        <f t="shared" si="27"/>
        <v>20.93369</v>
      </c>
      <c r="L328" s="320">
        <f t="shared" si="28"/>
        <v>231.69096</v>
      </c>
    </row>
    <row r="329" spans="2:12" ht="19.5" customHeight="1">
      <c r="B329" s="234" t="s">
        <v>954</v>
      </c>
      <c r="C329" s="235" t="s">
        <v>488</v>
      </c>
      <c r="D329" s="236">
        <v>0</v>
      </c>
      <c r="E329" s="236">
        <v>79525.14</v>
      </c>
      <c r="F329" s="236">
        <v>3574</v>
      </c>
      <c r="G329" s="236">
        <v>75951.14</v>
      </c>
      <c r="H329" s="217"/>
      <c r="I329" s="320">
        <f t="shared" si="25"/>
        <v>0</v>
      </c>
      <c r="J329" s="320">
        <f t="shared" si="26"/>
        <v>79.52514</v>
      </c>
      <c r="K329" s="320">
        <f t="shared" si="27"/>
        <v>3.574</v>
      </c>
      <c r="L329" s="320">
        <f t="shared" si="28"/>
        <v>75.95114</v>
      </c>
    </row>
    <row r="330" spans="2:12" ht="19.5" customHeight="1">
      <c r="B330" s="234" t="s">
        <v>955</v>
      </c>
      <c r="C330" s="235" t="s">
        <v>489</v>
      </c>
      <c r="D330" s="236">
        <v>0</v>
      </c>
      <c r="E330" s="236">
        <v>486973.47</v>
      </c>
      <c r="F330" s="236">
        <v>30749.97</v>
      </c>
      <c r="G330" s="236">
        <v>456223.5</v>
      </c>
      <c r="H330" s="217"/>
      <c r="I330" s="320">
        <f t="shared" si="25"/>
        <v>0</v>
      </c>
      <c r="J330" s="320">
        <f t="shared" si="26"/>
        <v>486.97346999999996</v>
      </c>
      <c r="K330" s="320">
        <f t="shared" si="27"/>
        <v>30.74997</v>
      </c>
      <c r="L330" s="320">
        <f t="shared" si="28"/>
        <v>456.2235</v>
      </c>
    </row>
    <row r="331" spans="2:12" ht="19.5" customHeight="1">
      <c r="B331" s="234" t="s">
        <v>956</v>
      </c>
      <c r="C331" s="235" t="s">
        <v>490</v>
      </c>
      <c r="D331" s="236">
        <v>0</v>
      </c>
      <c r="E331" s="236">
        <v>96417.84</v>
      </c>
      <c r="F331" s="236"/>
      <c r="G331" s="236">
        <v>96417.84</v>
      </c>
      <c r="H331" s="217"/>
      <c r="I331" s="320">
        <f t="shared" si="25"/>
        <v>0</v>
      </c>
      <c r="J331" s="320">
        <f t="shared" si="26"/>
        <v>96.41784</v>
      </c>
      <c r="K331" s="320">
        <f t="shared" si="27"/>
        <v>0</v>
      </c>
      <c r="L331" s="320">
        <f t="shared" si="28"/>
        <v>96.41784</v>
      </c>
    </row>
    <row r="332" spans="2:12" ht="19.5" customHeight="1">
      <c r="B332" s="234" t="s">
        <v>957</v>
      </c>
      <c r="C332" s="235" t="s">
        <v>491</v>
      </c>
      <c r="D332" s="236">
        <v>0</v>
      </c>
      <c r="E332" s="236">
        <v>256055.81</v>
      </c>
      <c r="F332" s="236">
        <v>97954.07</v>
      </c>
      <c r="G332" s="236">
        <v>158101.74</v>
      </c>
      <c r="H332" s="217"/>
      <c r="I332" s="320">
        <f t="shared" si="25"/>
        <v>0</v>
      </c>
      <c r="J332" s="320">
        <f t="shared" si="26"/>
        <v>256.05581</v>
      </c>
      <c r="K332" s="320">
        <f t="shared" si="27"/>
        <v>97.95407</v>
      </c>
      <c r="L332" s="320">
        <f t="shared" si="28"/>
        <v>158.10173999999998</v>
      </c>
    </row>
    <row r="333" spans="2:21" s="228" customFormat="1" ht="19.5" customHeight="1">
      <c r="B333" s="253" t="s">
        <v>958</v>
      </c>
      <c r="C333" s="254" t="s">
        <v>492</v>
      </c>
      <c r="D333" s="255">
        <v>0</v>
      </c>
      <c r="E333" s="255">
        <v>34187073.84</v>
      </c>
      <c r="F333" s="255">
        <v>6982376.77</v>
      </c>
      <c r="G333" s="255">
        <v>27204697.07</v>
      </c>
      <c r="H333" s="256"/>
      <c r="I333" s="321">
        <f t="shared" si="25"/>
        <v>0</v>
      </c>
      <c r="J333" s="321">
        <f t="shared" si="26"/>
        <v>34187.073840000005</v>
      </c>
      <c r="K333" s="321">
        <f t="shared" si="27"/>
        <v>6982.37677</v>
      </c>
      <c r="L333" s="321">
        <f t="shared" si="28"/>
        <v>27204.697070000002</v>
      </c>
      <c r="O333" s="252"/>
      <c r="P333" s="252"/>
      <c r="Q333" s="252"/>
      <c r="R333" s="252"/>
      <c r="S333" s="252"/>
      <c r="T333" s="252"/>
      <c r="U333" s="252"/>
    </row>
    <row r="334" spans="2:21" s="228" customFormat="1" ht="19.5" customHeight="1">
      <c r="B334" s="233" t="s">
        <v>959</v>
      </c>
      <c r="C334" s="230" t="s">
        <v>493</v>
      </c>
      <c r="D334" s="231">
        <v>0</v>
      </c>
      <c r="E334" s="231">
        <v>17826746.96</v>
      </c>
      <c r="F334" s="231">
        <v>1859220.94</v>
      </c>
      <c r="G334" s="231">
        <v>15967526.02</v>
      </c>
      <c r="H334" s="232"/>
      <c r="I334" s="320">
        <f t="shared" si="25"/>
        <v>0</v>
      </c>
      <c r="J334" s="320">
        <f t="shared" si="26"/>
        <v>17826.74696</v>
      </c>
      <c r="K334" s="320">
        <f t="shared" si="27"/>
        <v>1859.22094</v>
      </c>
      <c r="L334" s="320">
        <f t="shared" si="28"/>
        <v>15967.52602</v>
      </c>
      <c r="O334" s="252"/>
      <c r="P334" s="252"/>
      <c r="Q334" s="252"/>
      <c r="R334" s="252"/>
      <c r="S334" s="252"/>
      <c r="T334" s="252"/>
      <c r="U334" s="252"/>
    </row>
    <row r="335" spans="2:12" ht="19.5" customHeight="1">
      <c r="B335" s="234" t="s">
        <v>960</v>
      </c>
      <c r="C335" s="235" t="s">
        <v>494</v>
      </c>
      <c r="D335" s="236">
        <v>0</v>
      </c>
      <c r="E335" s="236">
        <v>13899479.84</v>
      </c>
      <c r="F335" s="236">
        <v>1346408.91</v>
      </c>
      <c r="G335" s="236">
        <v>12553070.93</v>
      </c>
      <c r="I335" s="320">
        <f t="shared" si="25"/>
        <v>0</v>
      </c>
      <c r="J335" s="320">
        <f t="shared" si="26"/>
        <v>13899.47984</v>
      </c>
      <c r="K335" s="320">
        <f t="shared" si="27"/>
        <v>1346.4089099999999</v>
      </c>
      <c r="L335" s="320">
        <f t="shared" si="28"/>
        <v>12553.07093</v>
      </c>
    </row>
    <row r="336" spans="2:12" ht="19.5" customHeight="1">
      <c r="B336" s="234" t="s">
        <v>961</v>
      </c>
      <c r="C336" s="235" t="s">
        <v>495</v>
      </c>
      <c r="D336" s="236">
        <v>0</v>
      </c>
      <c r="E336" s="236">
        <v>1833417.2</v>
      </c>
      <c r="F336" s="236">
        <v>276070.57</v>
      </c>
      <c r="G336" s="236">
        <v>1557346.63</v>
      </c>
      <c r="I336" s="320">
        <f t="shared" si="25"/>
        <v>0</v>
      </c>
      <c r="J336" s="320">
        <f t="shared" si="26"/>
        <v>1833.4171999999999</v>
      </c>
      <c r="K336" s="320">
        <f t="shared" si="27"/>
        <v>276.07057000000003</v>
      </c>
      <c r="L336" s="320">
        <f t="shared" si="28"/>
        <v>1557.3466299999998</v>
      </c>
    </row>
    <row r="337" spans="2:12" ht="19.5" customHeight="1">
      <c r="B337" s="234" t="s">
        <v>962</v>
      </c>
      <c r="C337" s="235" t="s">
        <v>496</v>
      </c>
      <c r="D337" s="236">
        <v>0</v>
      </c>
      <c r="E337" s="236">
        <v>1263472.51</v>
      </c>
      <c r="F337" s="236">
        <v>108522.1</v>
      </c>
      <c r="G337" s="236">
        <v>1154950.41</v>
      </c>
      <c r="I337" s="320">
        <f t="shared" si="25"/>
        <v>0</v>
      </c>
      <c r="J337" s="320">
        <f t="shared" si="26"/>
        <v>1263.47251</v>
      </c>
      <c r="K337" s="320">
        <f t="shared" si="27"/>
        <v>108.52210000000001</v>
      </c>
      <c r="L337" s="320">
        <f t="shared" si="28"/>
        <v>1154.95041</v>
      </c>
    </row>
    <row r="338" spans="2:12" ht="19.5" customHeight="1">
      <c r="B338" s="234" t="s">
        <v>963</v>
      </c>
      <c r="C338" s="235" t="s">
        <v>497</v>
      </c>
      <c r="D338" s="236">
        <v>0</v>
      </c>
      <c r="E338" s="236">
        <v>344238.51</v>
      </c>
      <c r="F338" s="236">
        <v>25918.72</v>
      </c>
      <c r="G338" s="236">
        <v>318319.79</v>
      </c>
      <c r="I338" s="320">
        <f t="shared" si="25"/>
        <v>0</v>
      </c>
      <c r="J338" s="320">
        <f t="shared" si="26"/>
        <v>344.23851</v>
      </c>
      <c r="K338" s="320">
        <f t="shared" si="27"/>
        <v>25.91872</v>
      </c>
      <c r="L338" s="320">
        <f t="shared" si="28"/>
        <v>318.31978999999995</v>
      </c>
    </row>
    <row r="339" spans="2:12" ht="19.5" customHeight="1">
      <c r="B339" s="234" t="s">
        <v>964</v>
      </c>
      <c r="C339" s="235" t="s">
        <v>498</v>
      </c>
      <c r="D339" s="236">
        <v>0</v>
      </c>
      <c r="E339" s="236">
        <v>208941.11</v>
      </c>
      <c r="F339" s="236">
        <v>24723.63</v>
      </c>
      <c r="G339" s="236">
        <v>184217.48</v>
      </c>
      <c r="I339" s="320">
        <f t="shared" si="25"/>
        <v>0</v>
      </c>
      <c r="J339" s="320">
        <f t="shared" si="26"/>
        <v>208.94110999999998</v>
      </c>
      <c r="K339" s="320">
        <f t="shared" si="27"/>
        <v>24.72363</v>
      </c>
      <c r="L339" s="320">
        <f t="shared" si="28"/>
        <v>184.21748000000002</v>
      </c>
    </row>
    <row r="340" spans="2:12" ht="19.5" customHeight="1">
      <c r="B340" s="234" t="s">
        <v>965</v>
      </c>
      <c r="C340" s="235" t="s">
        <v>499</v>
      </c>
      <c r="D340" s="236">
        <v>0</v>
      </c>
      <c r="E340" s="236">
        <v>274333.23</v>
      </c>
      <c r="F340" s="236">
        <v>39005.63</v>
      </c>
      <c r="G340" s="236">
        <v>235327.6</v>
      </c>
      <c r="I340" s="320">
        <f t="shared" si="25"/>
        <v>0</v>
      </c>
      <c r="J340" s="320">
        <f t="shared" si="26"/>
        <v>274.33322999999996</v>
      </c>
      <c r="K340" s="320">
        <f t="shared" si="27"/>
        <v>39.00563</v>
      </c>
      <c r="L340" s="320">
        <f t="shared" si="28"/>
        <v>235.32760000000002</v>
      </c>
    </row>
    <row r="341" spans="2:12" ht="19.5" customHeight="1">
      <c r="B341" s="234" t="s">
        <v>966</v>
      </c>
      <c r="C341" s="235" t="s">
        <v>500</v>
      </c>
      <c r="D341" s="236">
        <v>0</v>
      </c>
      <c r="E341" s="236">
        <v>2864.56</v>
      </c>
      <c r="F341" s="236">
        <v>38571.38</v>
      </c>
      <c r="G341" s="236">
        <v>-35706.82</v>
      </c>
      <c r="I341" s="320">
        <f t="shared" si="25"/>
        <v>0</v>
      </c>
      <c r="J341" s="320">
        <f t="shared" si="26"/>
        <v>2.86456</v>
      </c>
      <c r="K341" s="320">
        <f t="shared" si="27"/>
        <v>38.57138</v>
      </c>
      <c r="L341" s="320">
        <f t="shared" si="28"/>
        <v>-35.70682</v>
      </c>
    </row>
    <row r="342" spans="2:21" s="228" customFormat="1" ht="19.5" customHeight="1">
      <c r="B342" s="233" t="s">
        <v>967</v>
      </c>
      <c r="C342" s="230" t="s">
        <v>501</v>
      </c>
      <c r="D342" s="231">
        <v>0</v>
      </c>
      <c r="E342" s="231">
        <v>7001297.31</v>
      </c>
      <c r="F342" s="231">
        <v>1723653.62</v>
      </c>
      <c r="G342" s="231">
        <v>5277643.69</v>
      </c>
      <c r="H342" s="232"/>
      <c r="I342" s="320">
        <f t="shared" si="25"/>
        <v>0</v>
      </c>
      <c r="J342" s="320">
        <f t="shared" si="26"/>
        <v>7001.29731</v>
      </c>
      <c r="K342" s="320">
        <f t="shared" si="27"/>
        <v>1723.65362</v>
      </c>
      <c r="L342" s="320">
        <f t="shared" si="28"/>
        <v>5277.643690000001</v>
      </c>
      <c r="O342" s="252"/>
      <c r="P342" s="252"/>
      <c r="Q342" s="252"/>
      <c r="R342" s="252"/>
      <c r="S342" s="252"/>
      <c r="T342" s="252"/>
      <c r="U342" s="252"/>
    </row>
    <row r="343" spans="2:12" ht="19.5" customHeight="1">
      <c r="B343" s="234" t="s">
        <v>968</v>
      </c>
      <c r="C343" s="235" t="s">
        <v>502</v>
      </c>
      <c r="D343" s="236">
        <v>0</v>
      </c>
      <c r="E343" s="236">
        <v>4816296.3</v>
      </c>
      <c r="F343" s="236">
        <v>888350.76</v>
      </c>
      <c r="G343" s="236">
        <v>3927945.54</v>
      </c>
      <c r="I343" s="320">
        <f t="shared" si="25"/>
        <v>0</v>
      </c>
      <c r="J343" s="320">
        <f t="shared" si="26"/>
        <v>4816.2963</v>
      </c>
      <c r="K343" s="320">
        <f t="shared" si="27"/>
        <v>888.35076</v>
      </c>
      <c r="L343" s="320">
        <f t="shared" si="28"/>
        <v>3927.94554</v>
      </c>
    </row>
    <row r="344" spans="2:12" ht="19.5" customHeight="1">
      <c r="B344" s="234" t="s">
        <v>969</v>
      </c>
      <c r="C344" s="235" t="s">
        <v>503</v>
      </c>
      <c r="D344" s="236">
        <v>0</v>
      </c>
      <c r="E344" s="236">
        <v>1996426.43</v>
      </c>
      <c r="F344" s="236">
        <v>799383.21</v>
      </c>
      <c r="G344" s="236">
        <v>1197043.22</v>
      </c>
      <c r="I344" s="320">
        <f t="shared" si="25"/>
        <v>0</v>
      </c>
      <c r="J344" s="320">
        <f t="shared" si="26"/>
        <v>1996.42643</v>
      </c>
      <c r="K344" s="320">
        <f t="shared" si="27"/>
        <v>799.38321</v>
      </c>
      <c r="L344" s="320">
        <f t="shared" si="28"/>
        <v>1197.04322</v>
      </c>
    </row>
    <row r="345" spans="2:12" ht="19.5" customHeight="1">
      <c r="B345" s="234" t="s">
        <v>970</v>
      </c>
      <c r="C345" s="235" t="s">
        <v>504</v>
      </c>
      <c r="D345" s="236">
        <v>0</v>
      </c>
      <c r="E345" s="236">
        <v>188574.58</v>
      </c>
      <c r="F345" s="236">
        <v>35919.65</v>
      </c>
      <c r="G345" s="236">
        <v>152654.93</v>
      </c>
      <c r="I345" s="320">
        <f t="shared" si="25"/>
        <v>0</v>
      </c>
      <c r="J345" s="320">
        <f t="shared" si="26"/>
        <v>188.57458</v>
      </c>
      <c r="K345" s="320">
        <f t="shared" si="27"/>
        <v>35.919650000000004</v>
      </c>
      <c r="L345" s="320">
        <f t="shared" si="28"/>
        <v>152.65492999999998</v>
      </c>
    </row>
    <row r="346" spans="2:21" s="228" customFormat="1" ht="19.5" customHeight="1">
      <c r="B346" s="233" t="s">
        <v>971</v>
      </c>
      <c r="C346" s="230" t="s">
        <v>505</v>
      </c>
      <c r="D346" s="231">
        <v>0</v>
      </c>
      <c r="E346" s="231">
        <v>4792157.82</v>
      </c>
      <c r="F346" s="231">
        <v>668013.31</v>
      </c>
      <c r="G346" s="231">
        <v>4124144.51</v>
      </c>
      <c r="H346" s="232"/>
      <c r="I346" s="320">
        <f t="shared" si="25"/>
        <v>0</v>
      </c>
      <c r="J346" s="320">
        <f t="shared" si="26"/>
        <v>4792.15782</v>
      </c>
      <c r="K346" s="320">
        <f t="shared" si="27"/>
        <v>668.01331</v>
      </c>
      <c r="L346" s="320">
        <f t="shared" si="28"/>
        <v>4124.14451</v>
      </c>
      <c r="O346" s="252"/>
      <c r="P346" s="252"/>
      <c r="Q346" s="252"/>
      <c r="R346" s="252"/>
      <c r="S346" s="252"/>
      <c r="T346" s="252"/>
      <c r="U346" s="252"/>
    </row>
    <row r="347" spans="2:12" ht="19.5" customHeight="1">
      <c r="B347" s="234" t="s">
        <v>972</v>
      </c>
      <c r="C347" s="235" t="s">
        <v>244</v>
      </c>
      <c r="D347" s="236">
        <v>0</v>
      </c>
      <c r="E347" s="236">
        <v>1343667.95</v>
      </c>
      <c r="F347" s="236">
        <v>151130.75</v>
      </c>
      <c r="G347" s="236">
        <v>1192537.2</v>
      </c>
      <c r="I347" s="320">
        <f t="shared" si="25"/>
        <v>0</v>
      </c>
      <c r="J347" s="320">
        <f t="shared" si="26"/>
        <v>1343.66795</v>
      </c>
      <c r="K347" s="320">
        <f t="shared" si="27"/>
        <v>151.13075</v>
      </c>
      <c r="L347" s="320">
        <f t="shared" si="28"/>
        <v>1192.5372</v>
      </c>
    </row>
    <row r="348" spans="2:12" ht="19.5" customHeight="1">
      <c r="B348" s="234" t="s">
        <v>973</v>
      </c>
      <c r="C348" s="235" t="s">
        <v>245</v>
      </c>
      <c r="D348" s="236">
        <v>0</v>
      </c>
      <c r="E348" s="236">
        <v>3335968.91</v>
      </c>
      <c r="F348" s="236">
        <v>504938.12</v>
      </c>
      <c r="G348" s="236">
        <v>2831030.79</v>
      </c>
      <c r="I348" s="320">
        <f t="shared" si="25"/>
        <v>0</v>
      </c>
      <c r="J348" s="320">
        <f t="shared" si="26"/>
        <v>3335.96891</v>
      </c>
      <c r="K348" s="320">
        <f t="shared" si="27"/>
        <v>504.93811999999997</v>
      </c>
      <c r="L348" s="320">
        <f t="shared" si="28"/>
        <v>2831.0307900000003</v>
      </c>
    </row>
    <row r="349" spans="2:12" ht="19.5" customHeight="1">
      <c r="B349" s="234" t="s">
        <v>974</v>
      </c>
      <c r="C349" s="235" t="s">
        <v>246</v>
      </c>
      <c r="D349" s="236">
        <v>0</v>
      </c>
      <c r="E349" s="236">
        <v>22195.89</v>
      </c>
      <c r="F349" s="236">
        <v>2796.41</v>
      </c>
      <c r="G349" s="236">
        <v>19399.48</v>
      </c>
      <c r="I349" s="320">
        <f t="shared" si="25"/>
        <v>0</v>
      </c>
      <c r="J349" s="320">
        <f t="shared" si="26"/>
        <v>22.19589</v>
      </c>
      <c r="K349" s="320">
        <f t="shared" si="27"/>
        <v>2.79641</v>
      </c>
      <c r="L349" s="320">
        <f t="shared" si="28"/>
        <v>19.39948</v>
      </c>
    </row>
    <row r="350" spans="2:12" ht="19.5" customHeight="1">
      <c r="B350" s="234" t="s">
        <v>975</v>
      </c>
      <c r="C350" s="235" t="s">
        <v>506</v>
      </c>
      <c r="D350" s="236">
        <v>0</v>
      </c>
      <c r="E350" s="236">
        <v>90325.07</v>
      </c>
      <c r="F350" s="236">
        <v>9148.03</v>
      </c>
      <c r="G350" s="236">
        <v>81177.04</v>
      </c>
      <c r="I350" s="320">
        <f t="shared" si="25"/>
        <v>0</v>
      </c>
      <c r="J350" s="320">
        <f t="shared" si="26"/>
        <v>90.32507000000001</v>
      </c>
      <c r="K350" s="320">
        <f t="shared" si="27"/>
        <v>9.14803</v>
      </c>
      <c r="L350" s="320">
        <f t="shared" si="28"/>
        <v>81.17703999999999</v>
      </c>
    </row>
    <row r="351" spans="2:21" s="228" customFormat="1" ht="19.5" customHeight="1">
      <c r="B351" s="233" t="s">
        <v>976</v>
      </c>
      <c r="C351" s="230" t="s">
        <v>507</v>
      </c>
      <c r="D351" s="231">
        <v>0</v>
      </c>
      <c r="E351" s="231">
        <v>1905137.24</v>
      </c>
      <c r="F351" s="231">
        <v>1004206.1</v>
      </c>
      <c r="G351" s="231">
        <v>900931.14</v>
      </c>
      <c r="H351" s="232"/>
      <c r="I351" s="320">
        <f t="shared" si="25"/>
        <v>0</v>
      </c>
      <c r="J351" s="320">
        <f t="shared" si="26"/>
        <v>1905.13724</v>
      </c>
      <c r="K351" s="320">
        <f t="shared" si="27"/>
        <v>1004.2061</v>
      </c>
      <c r="L351" s="320">
        <f t="shared" si="28"/>
        <v>900.93114</v>
      </c>
      <c r="O351" s="252"/>
      <c r="P351" s="252"/>
      <c r="Q351" s="252"/>
      <c r="R351" s="252"/>
      <c r="S351" s="252"/>
      <c r="T351" s="252"/>
      <c r="U351" s="252"/>
    </row>
    <row r="352" spans="2:12" ht="19.5" customHeight="1">
      <c r="B352" s="234" t="s">
        <v>977</v>
      </c>
      <c r="C352" s="235" t="s">
        <v>508</v>
      </c>
      <c r="D352" s="236">
        <v>0</v>
      </c>
      <c r="E352" s="236">
        <v>694178.69</v>
      </c>
      <c r="F352" s="236">
        <v>345427.8</v>
      </c>
      <c r="G352" s="236">
        <v>348750.89</v>
      </c>
      <c r="I352" s="320">
        <f t="shared" si="25"/>
        <v>0</v>
      </c>
      <c r="J352" s="320">
        <f t="shared" si="26"/>
        <v>694.17869</v>
      </c>
      <c r="K352" s="320">
        <f t="shared" si="27"/>
        <v>345.4278</v>
      </c>
      <c r="L352" s="320">
        <f t="shared" si="28"/>
        <v>348.75089</v>
      </c>
    </row>
    <row r="353" spans="2:12" ht="19.5" customHeight="1">
      <c r="B353" s="234" t="s">
        <v>978</v>
      </c>
      <c r="C353" s="235" t="s">
        <v>509</v>
      </c>
      <c r="D353" s="236">
        <v>0</v>
      </c>
      <c r="E353" s="236">
        <v>1210958.55</v>
      </c>
      <c r="F353" s="236">
        <v>658778.3</v>
      </c>
      <c r="G353" s="236">
        <v>552180.25</v>
      </c>
      <c r="I353" s="320">
        <f aca="true" t="shared" si="29" ref="I353:I416">D353/1000</f>
        <v>0</v>
      </c>
      <c r="J353" s="320">
        <f aca="true" t="shared" si="30" ref="J353:J416">E353/1000</f>
        <v>1210.95855</v>
      </c>
      <c r="K353" s="320">
        <f aca="true" t="shared" si="31" ref="K353:K416">F353/1000</f>
        <v>658.7783000000001</v>
      </c>
      <c r="L353" s="320">
        <f aca="true" t="shared" si="32" ref="L353:L416">G353/1000</f>
        <v>552.18025</v>
      </c>
    </row>
    <row r="354" spans="2:21" s="228" customFormat="1" ht="19.5" customHeight="1">
      <c r="B354" s="233" t="s">
        <v>979</v>
      </c>
      <c r="C354" s="230" t="s">
        <v>510</v>
      </c>
      <c r="D354" s="231">
        <v>0</v>
      </c>
      <c r="E354" s="231">
        <v>1426072.1</v>
      </c>
      <c r="F354" s="231">
        <v>1426072.1</v>
      </c>
      <c r="G354" s="231">
        <v>0</v>
      </c>
      <c r="H354" s="232"/>
      <c r="I354" s="320">
        <f t="shared" si="29"/>
        <v>0</v>
      </c>
      <c r="J354" s="320">
        <f t="shared" si="30"/>
        <v>1426.0721</v>
      </c>
      <c r="K354" s="320">
        <f t="shared" si="31"/>
        <v>1426.0721</v>
      </c>
      <c r="L354" s="320">
        <f t="shared" si="32"/>
        <v>0</v>
      </c>
      <c r="O354" s="252"/>
      <c r="P354" s="252"/>
      <c r="Q354" s="252"/>
      <c r="R354" s="252"/>
      <c r="S354" s="252"/>
      <c r="T354" s="252"/>
      <c r="U354" s="252"/>
    </row>
    <row r="355" spans="2:12" ht="19.5" customHeight="1">
      <c r="B355" s="234" t="s">
        <v>980</v>
      </c>
      <c r="C355" s="235" t="s">
        <v>511</v>
      </c>
      <c r="D355" s="236">
        <v>0</v>
      </c>
      <c r="E355" s="236">
        <v>1045974.66</v>
      </c>
      <c r="F355" s="236">
        <v>1045974.66</v>
      </c>
      <c r="G355" s="236">
        <v>0</v>
      </c>
      <c r="I355" s="320">
        <f t="shared" si="29"/>
        <v>0</v>
      </c>
      <c r="J355" s="320">
        <f t="shared" si="30"/>
        <v>1045.97466</v>
      </c>
      <c r="K355" s="320">
        <f t="shared" si="31"/>
        <v>1045.97466</v>
      </c>
      <c r="L355" s="320">
        <f t="shared" si="32"/>
        <v>0</v>
      </c>
    </row>
    <row r="356" spans="2:12" ht="19.5" customHeight="1">
      <c r="B356" s="234" t="s">
        <v>981</v>
      </c>
      <c r="C356" s="235" t="s">
        <v>512</v>
      </c>
      <c r="D356" s="236">
        <v>0</v>
      </c>
      <c r="E356" s="236">
        <v>337171.81</v>
      </c>
      <c r="F356" s="236">
        <v>337171.81</v>
      </c>
      <c r="G356" s="236">
        <v>0</v>
      </c>
      <c r="I356" s="320">
        <f t="shared" si="29"/>
        <v>0</v>
      </c>
      <c r="J356" s="320">
        <f t="shared" si="30"/>
        <v>337.17181</v>
      </c>
      <c r="K356" s="320">
        <f t="shared" si="31"/>
        <v>337.17181</v>
      </c>
      <c r="L356" s="320">
        <f t="shared" si="32"/>
        <v>0</v>
      </c>
    </row>
    <row r="357" spans="2:12" ht="19.5" customHeight="1">
      <c r="B357" s="234" t="s">
        <v>982</v>
      </c>
      <c r="C357" s="235" t="s">
        <v>513</v>
      </c>
      <c r="D357" s="236">
        <v>0</v>
      </c>
      <c r="E357" s="236">
        <v>42925.63</v>
      </c>
      <c r="F357" s="236">
        <v>42925.63</v>
      </c>
      <c r="G357" s="236">
        <v>0</v>
      </c>
      <c r="I357" s="320">
        <f t="shared" si="29"/>
        <v>0</v>
      </c>
      <c r="J357" s="320">
        <f t="shared" si="30"/>
        <v>42.92563</v>
      </c>
      <c r="K357" s="320">
        <f t="shared" si="31"/>
        <v>42.92563</v>
      </c>
      <c r="L357" s="320">
        <f t="shared" si="32"/>
        <v>0</v>
      </c>
    </row>
    <row r="358" spans="2:21" s="228" customFormat="1" ht="19.5" customHeight="1">
      <c r="B358" s="233" t="s">
        <v>983</v>
      </c>
      <c r="C358" s="230" t="s">
        <v>514</v>
      </c>
      <c r="D358" s="231">
        <v>0</v>
      </c>
      <c r="E358" s="231">
        <v>1235662.41</v>
      </c>
      <c r="F358" s="231">
        <v>301210.7</v>
      </c>
      <c r="G358" s="231">
        <v>934451.71</v>
      </c>
      <c r="H358" s="232"/>
      <c r="I358" s="320">
        <f t="shared" si="29"/>
        <v>0</v>
      </c>
      <c r="J358" s="320">
        <f t="shared" si="30"/>
        <v>1235.66241</v>
      </c>
      <c r="K358" s="320">
        <f t="shared" si="31"/>
        <v>301.21070000000003</v>
      </c>
      <c r="L358" s="320">
        <f t="shared" si="32"/>
        <v>934.4517099999999</v>
      </c>
      <c r="O358" s="252"/>
      <c r="P358" s="252"/>
      <c r="Q358" s="252"/>
      <c r="R358" s="252"/>
      <c r="S358" s="252"/>
      <c r="T358" s="252"/>
      <c r="U358" s="252"/>
    </row>
    <row r="359" spans="2:12" ht="19.5" customHeight="1">
      <c r="B359" s="234" t="s">
        <v>984</v>
      </c>
      <c r="C359" s="235" t="s">
        <v>515</v>
      </c>
      <c r="D359" s="236">
        <v>0</v>
      </c>
      <c r="E359" s="236">
        <v>99612.56</v>
      </c>
      <c r="F359" s="236">
        <v>26013.06</v>
      </c>
      <c r="G359" s="236">
        <v>73599.5</v>
      </c>
      <c r="I359" s="320">
        <f t="shared" si="29"/>
        <v>0</v>
      </c>
      <c r="J359" s="320">
        <f t="shared" si="30"/>
        <v>99.61256</v>
      </c>
      <c r="K359" s="320">
        <f t="shared" si="31"/>
        <v>26.013060000000003</v>
      </c>
      <c r="L359" s="320">
        <f t="shared" si="32"/>
        <v>73.5995</v>
      </c>
    </row>
    <row r="360" spans="2:12" ht="19.5" customHeight="1">
      <c r="B360" s="234" t="s">
        <v>985</v>
      </c>
      <c r="C360" s="235" t="s">
        <v>516</v>
      </c>
      <c r="D360" s="236">
        <v>0</v>
      </c>
      <c r="E360" s="236">
        <v>65348.23</v>
      </c>
      <c r="F360" s="236">
        <v>520</v>
      </c>
      <c r="G360" s="236">
        <v>64828.23</v>
      </c>
      <c r="I360" s="320">
        <f t="shared" si="29"/>
        <v>0</v>
      </c>
      <c r="J360" s="320">
        <f t="shared" si="30"/>
        <v>65.34823</v>
      </c>
      <c r="K360" s="320">
        <f t="shared" si="31"/>
        <v>0.52</v>
      </c>
      <c r="L360" s="320">
        <f t="shared" si="32"/>
        <v>64.82823</v>
      </c>
    </row>
    <row r="361" spans="2:12" ht="19.5" customHeight="1">
      <c r="B361" s="234" t="s">
        <v>986</v>
      </c>
      <c r="C361" s="235" t="s">
        <v>517</v>
      </c>
      <c r="D361" s="236">
        <v>0</v>
      </c>
      <c r="E361" s="236">
        <v>254115.49</v>
      </c>
      <c r="F361" s="236">
        <v>64338.31</v>
      </c>
      <c r="G361" s="236">
        <v>189777.18</v>
      </c>
      <c r="I361" s="320">
        <f t="shared" si="29"/>
        <v>0</v>
      </c>
      <c r="J361" s="320">
        <f t="shared" si="30"/>
        <v>254.11549</v>
      </c>
      <c r="K361" s="320">
        <f t="shared" si="31"/>
        <v>64.33830999999999</v>
      </c>
      <c r="L361" s="320">
        <f t="shared" si="32"/>
        <v>189.77718</v>
      </c>
    </row>
    <row r="362" spans="2:12" ht="19.5" customHeight="1">
      <c r="B362" s="234" t="s">
        <v>987</v>
      </c>
      <c r="C362" s="235" t="s">
        <v>247</v>
      </c>
      <c r="D362" s="236">
        <v>0</v>
      </c>
      <c r="E362" s="236">
        <v>363295.99</v>
      </c>
      <c r="F362" s="236">
        <v>40999.63</v>
      </c>
      <c r="G362" s="236">
        <v>322296.36</v>
      </c>
      <c r="I362" s="320">
        <f t="shared" si="29"/>
        <v>0</v>
      </c>
      <c r="J362" s="320">
        <f t="shared" si="30"/>
        <v>363.29599</v>
      </c>
      <c r="K362" s="320">
        <f t="shared" si="31"/>
        <v>40.999629999999996</v>
      </c>
      <c r="L362" s="320">
        <f t="shared" si="32"/>
        <v>322.29636</v>
      </c>
    </row>
    <row r="363" spans="2:12" ht="19.5" customHeight="1">
      <c r="B363" s="234" t="s">
        <v>988</v>
      </c>
      <c r="C363" s="235" t="s">
        <v>518</v>
      </c>
      <c r="D363" s="236">
        <v>0</v>
      </c>
      <c r="E363" s="236">
        <v>300292.29</v>
      </c>
      <c r="F363" s="236">
        <v>169269.7</v>
      </c>
      <c r="G363" s="236">
        <v>131022.59</v>
      </c>
      <c r="I363" s="320">
        <f t="shared" si="29"/>
        <v>0</v>
      </c>
      <c r="J363" s="320">
        <f t="shared" si="30"/>
        <v>300.29229</v>
      </c>
      <c r="K363" s="320">
        <f t="shared" si="31"/>
        <v>169.2697</v>
      </c>
      <c r="L363" s="320">
        <f t="shared" si="32"/>
        <v>131.02259</v>
      </c>
    </row>
    <row r="364" spans="2:12" ht="19.5" customHeight="1">
      <c r="B364" s="234" t="s">
        <v>989</v>
      </c>
      <c r="C364" s="235" t="s">
        <v>519</v>
      </c>
      <c r="D364" s="236">
        <v>0</v>
      </c>
      <c r="E364" s="236">
        <v>49399.09</v>
      </c>
      <c r="F364" s="236">
        <v>70</v>
      </c>
      <c r="G364" s="236">
        <v>49329.09</v>
      </c>
      <c r="I364" s="320">
        <f t="shared" si="29"/>
        <v>0</v>
      </c>
      <c r="J364" s="320">
        <f t="shared" si="30"/>
        <v>49.399089999999994</v>
      </c>
      <c r="K364" s="320">
        <f t="shared" si="31"/>
        <v>0.07</v>
      </c>
      <c r="L364" s="320">
        <f t="shared" si="32"/>
        <v>49.329089999999994</v>
      </c>
    </row>
    <row r="365" spans="2:12" ht="19.5" customHeight="1">
      <c r="B365" s="234" t="s">
        <v>990</v>
      </c>
      <c r="C365" s="235" t="s">
        <v>520</v>
      </c>
      <c r="D365" s="236">
        <v>0</v>
      </c>
      <c r="E365" s="236">
        <v>103598.76</v>
      </c>
      <c r="F365" s="236"/>
      <c r="G365" s="236">
        <v>103598.76</v>
      </c>
      <c r="I365" s="320">
        <f t="shared" si="29"/>
        <v>0</v>
      </c>
      <c r="J365" s="320">
        <f t="shared" si="30"/>
        <v>103.59876</v>
      </c>
      <c r="K365" s="320">
        <f t="shared" si="31"/>
        <v>0</v>
      </c>
      <c r="L365" s="320">
        <f t="shared" si="32"/>
        <v>103.59876</v>
      </c>
    </row>
    <row r="366" spans="2:21" s="228" customFormat="1" ht="19.5" customHeight="1">
      <c r="B366" s="233" t="s">
        <v>991</v>
      </c>
      <c r="C366" s="230" t="s">
        <v>521</v>
      </c>
      <c r="D366" s="231">
        <v>0</v>
      </c>
      <c r="E366" s="231">
        <v>7276794.7</v>
      </c>
      <c r="F366" s="231">
        <v>306781.58</v>
      </c>
      <c r="G366" s="231">
        <v>6970013.12</v>
      </c>
      <c r="H366" s="232"/>
      <c r="I366" s="320">
        <f t="shared" si="29"/>
        <v>0</v>
      </c>
      <c r="J366" s="320">
        <f t="shared" si="30"/>
        <v>7276.7947</v>
      </c>
      <c r="K366" s="320">
        <f t="shared" si="31"/>
        <v>306.78158</v>
      </c>
      <c r="L366" s="320">
        <f t="shared" si="32"/>
        <v>6970.0131200000005</v>
      </c>
      <c r="O366" s="252"/>
      <c r="P366" s="252"/>
      <c r="Q366" s="252"/>
      <c r="R366" s="252"/>
      <c r="S366" s="252"/>
      <c r="T366" s="252"/>
      <c r="U366" s="252"/>
    </row>
    <row r="367" spans="2:21" s="228" customFormat="1" ht="19.5" customHeight="1">
      <c r="B367" s="253" t="s">
        <v>992</v>
      </c>
      <c r="C367" s="254" t="s">
        <v>522</v>
      </c>
      <c r="D367" s="255">
        <v>0</v>
      </c>
      <c r="E367" s="255">
        <v>1697405.6</v>
      </c>
      <c r="F367" s="255">
        <v>200493.45</v>
      </c>
      <c r="G367" s="255">
        <v>1496912.15</v>
      </c>
      <c r="H367" s="256"/>
      <c r="I367" s="321">
        <f t="shared" si="29"/>
        <v>0</v>
      </c>
      <c r="J367" s="321">
        <f t="shared" si="30"/>
        <v>1697.4056</v>
      </c>
      <c r="K367" s="321">
        <f t="shared" si="31"/>
        <v>200.49345000000002</v>
      </c>
      <c r="L367" s="321">
        <f t="shared" si="32"/>
        <v>1496.9121499999999</v>
      </c>
      <c r="O367" s="252"/>
      <c r="P367" s="252"/>
      <c r="Q367" s="252"/>
      <c r="R367" s="252"/>
      <c r="S367" s="252"/>
      <c r="T367" s="252"/>
      <c r="U367" s="252"/>
    </row>
    <row r="368" spans="2:12" ht="19.5" customHeight="1">
      <c r="B368" s="234" t="s">
        <v>993</v>
      </c>
      <c r="C368" s="235" t="s">
        <v>523</v>
      </c>
      <c r="D368" s="236">
        <v>0</v>
      </c>
      <c r="E368" s="236">
        <v>152021.11</v>
      </c>
      <c r="F368" s="236">
        <v>36831.82</v>
      </c>
      <c r="G368" s="236">
        <v>115189.29</v>
      </c>
      <c r="I368" s="320">
        <f t="shared" si="29"/>
        <v>0</v>
      </c>
      <c r="J368" s="320">
        <f t="shared" si="30"/>
        <v>152.02111</v>
      </c>
      <c r="K368" s="320">
        <f t="shared" si="31"/>
        <v>36.83182</v>
      </c>
      <c r="L368" s="320">
        <f t="shared" si="32"/>
        <v>115.18929</v>
      </c>
    </row>
    <row r="369" spans="2:12" ht="19.5" customHeight="1">
      <c r="B369" s="234" t="s">
        <v>994</v>
      </c>
      <c r="C369" s="235" t="s">
        <v>524</v>
      </c>
      <c r="D369" s="236">
        <v>0</v>
      </c>
      <c r="E369" s="236">
        <v>490437.21</v>
      </c>
      <c r="F369" s="236">
        <v>37246.88</v>
      </c>
      <c r="G369" s="236">
        <v>453190.33</v>
      </c>
      <c r="I369" s="320">
        <f t="shared" si="29"/>
        <v>0</v>
      </c>
      <c r="J369" s="320">
        <f t="shared" si="30"/>
        <v>490.43721</v>
      </c>
      <c r="K369" s="320">
        <f t="shared" si="31"/>
        <v>37.24688</v>
      </c>
      <c r="L369" s="320">
        <f t="shared" si="32"/>
        <v>453.19033</v>
      </c>
    </row>
    <row r="370" spans="2:12" ht="19.5" customHeight="1">
      <c r="B370" s="234" t="s">
        <v>995</v>
      </c>
      <c r="C370" s="235" t="s">
        <v>525</v>
      </c>
      <c r="D370" s="236">
        <v>0</v>
      </c>
      <c r="E370" s="236">
        <v>19552.22</v>
      </c>
      <c r="F370" s="236"/>
      <c r="G370" s="236">
        <v>19552.22</v>
      </c>
      <c r="I370" s="320">
        <f t="shared" si="29"/>
        <v>0</v>
      </c>
      <c r="J370" s="320">
        <f t="shared" si="30"/>
        <v>19.552220000000002</v>
      </c>
      <c r="K370" s="320">
        <f t="shared" si="31"/>
        <v>0</v>
      </c>
      <c r="L370" s="320">
        <f t="shared" si="32"/>
        <v>19.552220000000002</v>
      </c>
    </row>
    <row r="371" spans="2:12" ht="19.5" customHeight="1">
      <c r="B371" s="234" t="s">
        <v>996</v>
      </c>
      <c r="C371" s="235" t="s">
        <v>526</v>
      </c>
      <c r="D371" s="236">
        <v>0</v>
      </c>
      <c r="E371" s="236">
        <v>19094.03</v>
      </c>
      <c r="F371" s="236"/>
      <c r="G371" s="236">
        <v>19094.03</v>
      </c>
      <c r="I371" s="320">
        <f t="shared" si="29"/>
        <v>0</v>
      </c>
      <c r="J371" s="320">
        <f t="shared" si="30"/>
        <v>19.09403</v>
      </c>
      <c r="K371" s="320">
        <f t="shared" si="31"/>
        <v>0</v>
      </c>
      <c r="L371" s="320">
        <f t="shared" si="32"/>
        <v>19.09403</v>
      </c>
    </row>
    <row r="372" spans="2:12" ht="19.5" customHeight="1">
      <c r="B372" s="234" t="s">
        <v>997</v>
      </c>
      <c r="C372" s="235" t="s">
        <v>527</v>
      </c>
      <c r="D372" s="236">
        <v>0</v>
      </c>
      <c r="E372" s="236">
        <v>38991.51</v>
      </c>
      <c r="F372" s="236">
        <v>5300</v>
      </c>
      <c r="G372" s="236">
        <v>33691.51</v>
      </c>
      <c r="I372" s="320">
        <f t="shared" si="29"/>
        <v>0</v>
      </c>
      <c r="J372" s="320">
        <f t="shared" si="30"/>
        <v>38.991510000000005</v>
      </c>
      <c r="K372" s="320">
        <f t="shared" si="31"/>
        <v>5.3</v>
      </c>
      <c r="L372" s="320">
        <f t="shared" si="32"/>
        <v>33.69151</v>
      </c>
    </row>
    <row r="373" spans="2:12" ht="19.5" customHeight="1">
      <c r="B373" s="234" t="s">
        <v>998</v>
      </c>
      <c r="C373" s="235" t="s">
        <v>528</v>
      </c>
      <c r="D373" s="236">
        <v>0</v>
      </c>
      <c r="E373" s="236">
        <v>167129.6</v>
      </c>
      <c r="F373" s="236">
        <v>6828.52</v>
      </c>
      <c r="G373" s="236">
        <v>160301.08</v>
      </c>
      <c r="I373" s="320">
        <f t="shared" si="29"/>
        <v>0</v>
      </c>
      <c r="J373" s="320">
        <f t="shared" si="30"/>
        <v>167.1296</v>
      </c>
      <c r="K373" s="320">
        <f t="shared" si="31"/>
        <v>6.82852</v>
      </c>
      <c r="L373" s="320">
        <f t="shared" si="32"/>
        <v>160.30107999999998</v>
      </c>
    </row>
    <row r="374" spans="2:12" ht="19.5" customHeight="1">
      <c r="B374" s="234" t="s">
        <v>999</v>
      </c>
      <c r="C374" s="235" t="s">
        <v>529</v>
      </c>
      <c r="D374" s="236">
        <v>0</v>
      </c>
      <c r="E374" s="236">
        <v>6419.08</v>
      </c>
      <c r="F374" s="236">
        <v>599.08</v>
      </c>
      <c r="G374" s="236">
        <v>5820</v>
      </c>
      <c r="I374" s="320">
        <f t="shared" si="29"/>
        <v>0</v>
      </c>
      <c r="J374" s="320">
        <f t="shared" si="30"/>
        <v>6.41908</v>
      </c>
      <c r="K374" s="320">
        <f t="shared" si="31"/>
        <v>0.5990800000000001</v>
      </c>
      <c r="L374" s="320">
        <f t="shared" si="32"/>
        <v>5.82</v>
      </c>
    </row>
    <row r="375" spans="2:12" ht="19.5" customHeight="1">
      <c r="B375" s="234" t="s">
        <v>1000</v>
      </c>
      <c r="C375" s="235" t="s">
        <v>530</v>
      </c>
      <c r="D375" s="236">
        <v>0</v>
      </c>
      <c r="E375" s="236">
        <v>4890.7</v>
      </c>
      <c r="F375" s="236"/>
      <c r="G375" s="236">
        <v>4890.7</v>
      </c>
      <c r="I375" s="320">
        <f t="shared" si="29"/>
        <v>0</v>
      </c>
      <c r="J375" s="320">
        <f t="shared" si="30"/>
        <v>4.8907</v>
      </c>
      <c r="K375" s="320">
        <f t="shared" si="31"/>
        <v>0</v>
      </c>
      <c r="L375" s="320">
        <f t="shared" si="32"/>
        <v>4.8907</v>
      </c>
    </row>
    <row r="376" spans="2:12" ht="19.5" customHeight="1">
      <c r="B376" s="234" t="s">
        <v>1001</v>
      </c>
      <c r="C376" s="235" t="s">
        <v>252</v>
      </c>
      <c r="D376" s="236">
        <v>0</v>
      </c>
      <c r="E376" s="236">
        <v>26510.48</v>
      </c>
      <c r="F376" s="236"/>
      <c r="G376" s="236">
        <v>26510.48</v>
      </c>
      <c r="I376" s="320">
        <f t="shared" si="29"/>
        <v>0</v>
      </c>
      <c r="J376" s="320">
        <f t="shared" si="30"/>
        <v>26.51048</v>
      </c>
      <c r="K376" s="320">
        <f t="shared" si="31"/>
        <v>0</v>
      </c>
      <c r="L376" s="320">
        <f t="shared" si="32"/>
        <v>26.51048</v>
      </c>
    </row>
    <row r="377" spans="2:12" ht="19.5" customHeight="1">
      <c r="B377" s="234" t="s">
        <v>1002</v>
      </c>
      <c r="C377" s="235" t="s">
        <v>253</v>
      </c>
      <c r="D377" s="236">
        <v>0</v>
      </c>
      <c r="E377" s="236">
        <v>44193.78</v>
      </c>
      <c r="F377" s="236">
        <v>25110.09</v>
      </c>
      <c r="G377" s="236">
        <v>19083.69</v>
      </c>
      <c r="I377" s="320">
        <f t="shared" si="29"/>
        <v>0</v>
      </c>
      <c r="J377" s="320">
        <f t="shared" si="30"/>
        <v>44.19378</v>
      </c>
      <c r="K377" s="320">
        <f t="shared" si="31"/>
        <v>25.11009</v>
      </c>
      <c r="L377" s="320">
        <f t="shared" si="32"/>
        <v>19.083689999999997</v>
      </c>
    </row>
    <row r="378" spans="2:12" ht="19.5" customHeight="1">
      <c r="B378" s="234" t="s">
        <v>1003</v>
      </c>
      <c r="C378" s="235" t="s">
        <v>531</v>
      </c>
      <c r="D378" s="236">
        <v>0</v>
      </c>
      <c r="E378" s="236">
        <v>28452.97</v>
      </c>
      <c r="F378" s="236"/>
      <c r="G378" s="236">
        <v>28452.97</v>
      </c>
      <c r="I378" s="320">
        <f t="shared" si="29"/>
        <v>0</v>
      </c>
      <c r="J378" s="320">
        <f t="shared" si="30"/>
        <v>28.45297</v>
      </c>
      <c r="K378" s="320">
        <f t="shared" si="31"/>
        <v>0</v>
      </c>
      <c r="L378" s="320">
        <f t="shared" si="32"/>
        <v>28.45297</v>
      </c>
    </row>
    <row r="379" spans="2:12" ht="19.5" customHeight="1">
      <c r="B379" s="234" t="s">
        <v>1004</v>
      </c>
      <c r="C379" s="235" t="s">
        <v>532</v>
      </c>
      <c r="D379" s="236">
        <v>0</v>
      </c>
      <c r="E379" s="236">
        <v>479118.69</v>
      </c>
      <c r="F379" s="236">
        <v>70225.64</v>
      </c>
      <c r="G379" s="236">
        <v>408893.05</v>
      </c>
      <c r="I379" s="320">
        <f t="shared" si="29"/>
        <v>0</v>
      </c>
      <c r="J379" s="320">
        <f t="shared" si="30"/>
        <v>479.11869</v>
      </c>
      <c r="K379" s="320">
        <f t="shared" si="31"/>
        <v>70.22564</v>
      </c>
      <c r="L379" s="320">
        <f t="shared" si="32"/>
        <v>408.89305</v>
      </c>
    </row>
    <row r="380" spans="2:12" ht="19.5" customHeight="1">
      <c r="B380" s="234" t="s">
        <v>1005</v>
      </c>
      <c r="C380" s="235" t="s">
        <v>533</v>
      </c>
      <c r="D380" s="236">
        <v>0</v>
      </c>
      <c r="E380" s="236">
        <v>29961.81</v>
      </c>
      <c r="F380" s="236">
        <v>5533.83</v>
      </c>
      <c r="G380" s="236">
        <v>24427.98</v>
      </c>
      <c r="I380" s="320">
        <f t="shared" si="29"/>
        <v>0</v>
      </c>
      <c r="J380" s="320">
        <f t="shared" si="30"/>
        <v>29.96181</v>
      </c>
      <c r="K380" s="320">
        <f t="shared" si="31"/>
        <v>5.53383</v>
      </c>
      <c r="L380" s="320">
        <f t="shared" si="32"/>
        <v>24.427979999999998</v>
      </c>
    </row>
    <row r="381" spans="2:12" ht="19.5" customHeight="1">
      <c r="B381" s="234" t="s">
        <v>1006</v>
      </c>
      <c r="C381" s="235" t="s">
        <v>534</v>
      </c>
      <c r="D381" s="236">
        <v>0</v>
      </c>
      <c r="E381" s="236">
        <v>8844</v>
      </c>
      <c r="F381" s="236"/>
      <c r="G381" s="236">
        <v>8844</v>
      </c>
      <c r="I381" s="320">
        <f t="shared" si="29"/>
        <v>0</v>
      </c>
      <c r="J381" s="320">
        <f t="shared" si="30"/>
        <v>8.844</v>
      </c>
      <c r="K381" s="320">
        <f t="shared" si="31"/>
        <v>0</v>
      </c>
      <c r="L381" s="320">
        <f t="shared" si="32"/>
        <v>8.844</v>
      </c>
    </row>
    <row r="382" spans="2:12" ht="19.5" customHeight="1">
      <c r="B382" s="234" t="s">
        <v>1007</v>
      </c>
      <c r="C382" s="235" t="s">
        <v>251</v>
      </c>
      <c r="D382" s="236">
        <v>0</v>
      </c>
      <c r="E382" s="236">
        <v>52074.42</v>
      </c>
      <c r="F382" s="236">
        <v>7305.97</v>
      </c>
      <c r="G382" s="236">
        <v>44768.45</v>
      </c>
      <c r="I382" s="320">
        <f t="shared" si="29"/>
        <v>0</v>
      </c>
      <c r="J382" s="320">
        <f t="shared" si="30"/>
        <v>52.074419999999996</v>
      </c>
      <c r="K382" s="320">
        <f t="shared" si="31"/>
        <v>7.30597</v>
      </c>
      <c r="L382" s="320">
        <f t="shared" si="32"/>
        <v>44.768449999999994</v>
      </c>
    </row>
    <row r="383" spans="2:12" ht="19.5" customHeight="1">
      <c r="B383" s="234" t="s">
        <v>1008</v>
      </c>
      <c r="C383" s="235" t="s">
        <v>535</v>
      </c>
      <c r="D383" s="236">
        <v>0</v>
      </c>
      <c r="E383" s="236">
        <v>129713.99</v>
      </c>
      <c r="F383" s="236">
        <v>5511.62</v>
      </c>
      <c r="G383" s="236">
        <v>124202.37</v>
      </c>
      <c r="I383" s="320">
        <f t="shared" si="29"/>
        <v>0</v>
      </c>
      <c r="J383" s="320">
        <f t="shared" si="30"/>
        <v>129.71399</v>
      </c>
      <c r="K383" s="320">
        <f t="shared" si="31"/>
        <v>5.51162</v>
      </c>
      <c r="L383" s="320">
        <f t="shared" si="32"/>
        <v>124.20237</v>
      </c>
    </row>
    <row r="384" spans="2:21" s="228" customFormat="1" ht="19.5" customHeight="1">
      <c r="B384" s="253" t="s">
        <v>1009</v>
      </c>
      <c r="C384" s="254" t="s">
        <v>536</v>
      </c>
      <c r="D384" s="255">
        <v>0</v>
      </c>
      <c r="E384" s="255">
        <v>259674.75</v>
      </c>
      <c r="F384" s="257">
        <v>6477.86</v>
      </c>
      <c r="G384" s="255">
        <v>253196.89</v>
      </c>
      <c r="H384" s="256"/>
      <c r="I384" s="321">
        <f t="shared" si="29"/>
        <v>0</v>
      </c>
      <c r="J384" s="321">
        <f t="shared" si="30"/>
        <v>259.67475</v>
      </c>
      <c r="K384" s="321">
        <f t="shared" si="31"/>
        <v>6.47786</v>
      </c>
      <c r="L384" s="321">
        <f t="shared" si="32"/>
        <v>253.19689000000002</v>
      </c>
      <c r="O384" s="252"/>
      <c r="P384" s="252"/>
      <c r="Q384" s="252"/>
      <c r="R384" s="252"/>
      <c r="S384" s="252"/>
      <c r="T384" s="252"/>
      <c r="U384" s="252"/>
    </row>
    <row r="385" spans="2:12" ht="19.5" customHeight="1">
      <c r="B385" s="234" t="s">
        <v>1010</v>
      </c>
      <c r="C385" s="235" t="s">
        <v>537</v>
      </c>
      <c r="D385" s="236">
        <v>0</v>
      </c>
      <c r="E385" s="236">
        <v>3500</v>
      </c>
      <c r="F385" s="236"/>
      <c r="G385" s="236">
        <v>3500</v>
      </c>
      <c r="I385" s="320">
        <f t="shared" si="29"/>
        <v>0</v>
      </c>
      <c r="J385" s="320">
        <f t="shared" si="30"/>
        <v>3.5</v>
      </c>
      <c r="K385" s="320">
        <f t="shared" si="31"/>
        <v>0</v>
      </c>
      <c r="L385" s="320">
        <f t="shared" si="32"/>
        <v>3.5</v>
      </c>
    </row>
    <row r="386" spans="2:12" ht="19.5" customHeight="1">
      <c r="B386" s="234" t="s">
        <v>1011</v>
      </c>
      <c r="C386" s="235" t="s">
        <v>538</v>
      </c>
      <c r="D386" s="236">
        <v>0</v>
      </c>
      <c r="E386" s="236">
        <v>44534.97</v>
      </c>
      <c r="F386" s="236">
        <v>6477.86</v>
      </c>
      <c r="G386" s="236">
        <v>38057.11</v>
      </c>
      <c r="I386" s="320">
        <f t="shared" si="29"/>
        <v>0</v>
      </c>
      <c r="J386" s="320">
        <f t="shared" si="30"/>
        <v>44.53497</v>
      </c>
      <c r="K386" s="320">
        <f t="shared" si="31"/>
        <v>6.47786</v>
      </c>
      <c r="L386" s="320">
        <f t="shared" si="32"/>
        <v>38.05711</v>
      </c>
    </row>
    <row r="387" spans="2:12" ht="19.5" customHeight="1">
      <c r="B387" s="234" t="s">
        <v>1012</v>
      </c>
      <c r="C387" s="235" t="s">
        <v>539</v>
      </c>
      <c r="D387" s="236">
        <v>0</v>
      </c>
      <c r="E387" s="236">
        <v>201579.78</v>
      </c>
      <c r="F387" s="236"/>
      <c r="G387" s="236">
        <v>201579.78</v>
      </c>
      <c r="I387" s="320">
        <f t="shared" si="29"/>
        <v>0</v>
      </c>
      <c r="J387" s="320">
        <f t="shared" si="30"/>
        <v>201.57978</v>
      </c>
      <c r="K387" s="320">
        <f t="shared" si="31"/>
        <v>0</v>
      </c>
      <c r="L387" s="320">
        <f t="shared" si="32"/>
        <v>201.57978</v>
      </c>
    </row>
    <row r="388" spans="2:12" ht="19.5" customHeight="1">
      <c r="B388" s="234" t="s">
        <v>1013</v>
      </c>
      <c r="C388" s="235" t="s">
        <v>540</v>
      </c>
      <c r="D388" s="236">
        <v>0</v>
      </c>
      <c r="E388" s="236">
        <v>10060</v>
      </c>
      <c r="F388" s="236"/>
      <c r="G388" s="236">
        <v>10060</v>
      </c>
      <c r="I388" s="320">
        <f t="shared" si="29"/>
        <v>0</v>
      </c>
      <c r="J388" s="320">
        <f t="shared" si="30"/>
        <v>10.06</v>
      </c>
      <c r="K388" s="320">
        <f t="shared" si="31"/>
        <v>0</v>
      </c>
      <c r="L388" s="320">
        <f t="shared" si="32"/>
        <v>10.06</v>
      </c>
    </row>
    <row r="389" spans="2:21" s="228" customFormat="1" ht="19.5" customHeight="1">
      <c r="B389" s="253" t="s">
        <v>1014</v>
      </c>
      <c r="C389" s="254" t="s">
        <v>249</v>
      </c>
      <c r="D389" s="255">
        <v>0</v>
      </c>
      <c r="E389" s="255">
        <v>1899017.09</v>
      </c>
      <c r="F389" s="257">
        <v>41485.03</v>
      </c>
      <c r="G389" s="255">
        <v>1857532.06</v>
      </c>
      <c r="H389" s="256"/>
      <c r="I389" s="321">
        <f t="shared" si="29"/>
        <v>0</v>
      </c>
      <c r="J389" s="321">
        <f t="shared" si="30"/>
        <v>1899.01709</v>
      </c>
      <c r="K389" s="321">
        <f t="shared" si="31"/>
        <v>41.48503</v>
      </c>
      <c r="L389" s="321">
        <f t="shared" si="32"/>
        <v>1857.53206</v>
      </c>
      <c r="O389" s="252"/>
      <c r="P389" s="252"/>
      <c r="Q389" s="252"/>
      <c r="R389" s="252"/>
      <c r="S389" s="252"/>
      <c r="T389" s="252"/>
      <c r="U389" s="252"/>
    </row>
    <row r="390" spans="2:12" ht="19.5" customHeight="1">
      <c r="B390" s="234" t="s">
        <v>1015</v>
      </c>
      <c r="C390" s="235" t="s">
        <v>541</v>
      </c>
      <c r="D390" s="236">
        <v>0</v>
      </c>
      <c r="E390" s="236">
        <v>1495411.19</v>
      </c>
      <c r="F390" s="236"/>
      <c r="G390" s="236">
        <v>1495411.19</v>
      </c>
      <c r="I390" s="320">
        <f t="shared" si="29"/>
        <v>0</v>
      </c>
      <c r="J390" s="320">
        <f t="shared" si="30"/>
        <v>1495.41119</v>
      </c>
      <c r="K390" s="320">
        <f t="shared" si="31"/>
        <v>0</v>
      </c>
      <c r="L390" s="320">
        <f t="shared" si="32"/>
        <v>1495.41119</v>
      </c>
    </row>
    <row r="391" spans="2:12" ht="19.5" customHeight="1">
      <c r="B391" s="234" t="s">
        <v>1016</v>
      </c>
      <c r="C391" s="235" t="s">
        <v>542</v>
      </c>
      <c r="D391" s="236">
        <v>0</v>
      </c>
      <c r="E391" s="236">
        <v>33172.88</v>
      </c>
      <c r="F391" s="236"/>
      <c r="G391" s="236">
        <v>33172.88</v>
      </c>
      <c r="I391" s="320">
        <f t="shared" si="29"/>
        <v>0</v>
      </c>
      <c r="J391" s="320">
        <f t="shared" si="30"/>
        <v>33.17288</v>
      </c>
      <c r="K391" s="320">
        <f t="shared" si="31"/>
        <v>0</v>
      </c>
      <c r="L391" s="320">
        <f t="shared" si="32"/>
        <v>33.17288</v>
      </c>
    </row>
    <row r="392" spans="2:12" ht="19.5" customHeight="1">
      <c r="B392" s="234" t="s">
        <v>1017</v>
      </c>
      <c r="C392" s="235" t="s">
        <v>543</v>
      </c>
      <c r="D392" s="236">
        <v>0</v>
      </c>
      <c r="E392" s="236">
        <v>370433.02</v>
      </c>
      <c r="F392" s="236">
        <v>41485.03</v>
      </c>
      <c r="G392" s="236">
        <v>328947.99</v>
      </c>
      <c r="I392" s="320">
        <f t="shared" si="29"/>
        <v>0</v>
      </c>
      <c r="J392" s="320">
        <f t="shared" si="30"/>
        <v>370.43302</v>
      </c>
      <c r="K392" s="320">
        <f t="shared" si="31"/>
        <v>41.48503</v>
      </c>
      <c r="L392" s="320">
        <f t="shared" si="32"/>
        <v>328.94799</v>
      </c>
    </row>
    <row r="393" spans="2:21" s="228" customFormat="1" ht="19.5" customHeight="1">
      <c r="B393" s="253" t="s">
        <v>1018</v>
      </c>
      <c r="C393" s="254" t="s">
        <v>544</v>
      </c>
      <c r="D393" s="255">
        <v>0</v>
      </c>
      <c r="E393" s="255">
        <v>236507.25</v>
      </c>
      <c r="F393" s="257">
        <v>19587.29</v>
      </c>
      <c r="G393" s="255">
        <v>216919.96</v>
      </c>
      <c r="H393" s="256"/>
      <c r="I393" s="321">
        <f t="shared" si="29"/>
        <v>0</v>
      </c>
      <c r="J393" s="321">
        <f t="shared" si="30"/>
        <v>236.50725</v>
      </c>
      <c r="K393" s="321">
        <f t="shared" si="31"/>
        <v>19.58729</v>
      </c>
      <c r="L393" s="321">
        <f t="shared" si="32"/>
        <v>216.91996</v>
      </c>
      <c r="O393" s="252"/>
      <c r="P393" s="252"/>
      <c r="Q393" s="252"/>
      <c r="R393" s="252"/>
      <c r="S393" s="252"/>
      <c r="T393" s="252"/>
      <c r="U393" s="252"/>
    </row>
    <row r="394" spans="2:12" ht="19.5" customHeight="1">
      <c r="B394" s="234" t="s">
        <v>1019</v>
      </c>
      <c r="C394" s="235" t="s">
        <v>545</v>
      </c>
      <c r="D394" s="236">
        <v>0</v>
      </c>
      <c r="E394" s="236">
        <v>151583.93</v>
      </c>
      <c r="F394" s="236">
        <v>19587.29</v>
      </c>
      <c r="G394" s="236">
        <v>131996.64</v>
      </c>
      <c r="I394" s="320">
        <f t="shared" si="29"/>
        <v>0</v>
      </c>
      <c r="J394" s="320">
        <f t="shared" si="30"/>
        <v>151.58392999999998</v>
      </c>
      <c r="K394" s="320">
        <f t="shared" si="31"/>
        <v>19.58729</v>
      </c>
      <c r="L394" s="320">
        <f t="shared" si="32"/>
        <v>131.99664</v>
      </c>
    </row>
    <row r="395" spans="2:12" ht="19.5" customHeight="1">
      <c r="B395" s="234" t="s">
        <v>1020</v>
      </c>
      <c r="C395" s="235" t="s">
        <v>546</v>
      </c>
      <c r="D395" s="236">
        <v>0</v>
      </c>
      <c r="E395" s="236">
        <v>84923.32</v>
      </c>
      <c r="F395" s="236"/>
      <c r="G395" s="236">
        <v>84923.32</v>
      </c>
      <c r="I395" s="320">
        <f t="shared" si="29"/>
        <v>0</v>
      </c>
      <c r="J395" s="320">
        <f t="shared" si="30"/>
        <v>84.92332</v>
      </c>
      <c r="K395" s="320">
        <f t="shared" si="31"/>
        <v>0</v>
      </c>
      <c r="L395" s="320">
        <f t="shared" si="32"/>
        <v>84.92332</v>
      </c>
    </row>
    <row r="396" spans="2:21" s="228" customFormat="1" ht="19.5" customHeight="1">
      <c r="B396" s="253" t="s">
        <v>1021</v>
      </c>
      <c r="C396" s="254" t="s">
        <v>547</v>
      </c>
      <c r="D396" s="255">
        <v>0</v>
      </c>
      <c r="E396" s="255">
        <v>261301.86</v>
      </c>
      <c r="F396" s="257">
        <v>38737.95</v>
      </c>
      <c r="G396" s="255">
        <v>222563.91</v>
      </c>
      <c r="H396" s="256"/>
      <c r="I396" s="321">
        <f t="shared" si="29"/>
        <v>0</v>
      </c>
      <c r="J396" s="321">
        <f t="shared" si="30"/>
        <v>261.30186</v>
      </c>
      <c r="K396" s="321">
        <f t="shared" si="31"/>
        <v>38.73795</v>
      </c>
      <c r="L396" s="321">
        <f t="shared" si="32"/>
        <v>222.56391</v>
      </c>
      <c r="O396" s="252"/>
      <c r="P396" s="252"/>
      <c r="Q396" s="252"/>
      <c r="R396" s="252"/>
      <c r="S396" s="252"/>
      <c r="T396" s="252"/>
      <c r="U396" s="252"/>
    </row>
    <row r="397" spans="2:12" ht="19.5" customHeight="1">
      <c r="B397" s="234" t="s">
        <v>1022</v>
      </c>
      <c r="C397" s="235" t="s">
        <v>548</v>
      </c>
      <c r="D397" s="236">
        <v>0</v>
      </c>
      <c r="E397" s="236">
        <v>161709.23</v>
      </c>
      <c r="F397" s="236">
        <v>17655.92</v>
      </c>
      <c r="G397" s="236">
        <v>144053.31</v>
      </c>
      <c r="I397" s="320">
        <f t="shared" si="29"/>
        <v>0</v>
      </c>
      <c r="J397" s="320">
        <f t="shared" si="30"/>
        <v>161.70923000000002</v>
      </c>
      <c r="K397" s="320">
        <f t="shared" si="31"/>
        <v>17.65592</v>
      </c>
      <c r="L397" s="320">
        <f t="shared" si="32"/>
        <v>144.05331</v>
      </c>
    </row>
    <row r="398" spans="2:12" ht="19.5" customHeight="1">
      <c r="B398" s="234" t="s">
        <v>1023</v>
      </c>
      <c r="C398" s="235" t="s">
        <v>549</v>
      </c>
      <c r="D398" s="236">
        <v>0</v>
      </c>
      <c r="E398" s="236">
        <v>75294.11</v>
      </c>
      <c r="F398" s="236">
        <v>10279.32</v>
      </c>
      <c r="G398" s="236">
        <v>65014.79</v>
      </c>
      <c r="I398" s="320">
        <f t="shared" si="29"/>
        <v>0</v>
      </c>
      <c r="J398" s="320">
        <f t="shared" si="30"/>
        <v>75.29411</v>
      </c>
      <c r="K398" s="320">
        <f t="shared" si="31"/>
        <v>10.27932</v>
      </c>
      <c r="L398" s="320">
        <f t="shared" si="32"/>
        <v>65.01479</v>
      </c>
    </row>
    <row r="399" spans="2:12" ht="19.5" customHeight="1">
      <c r="B399" s="234" t="s">
        <v>1024</v>
      </c>
      <c r="C399" s="235" t="s">
        <v>550</v>
      </c>
      <c r="D399" s="236">
        <v>0</v>
      </c>
      <c r="E399" s="236">
        <v>17455.78</v>
      </c>
      <c r="F399" s="236">
        <v>10598.63</v>
      </c>
      <c r="G399" s="236">
        <v>6857.15</v>
      </c>
      <c r="I399" s="320">
        <f t="shared" si="29"/>
        <v>0</v>
      </c>
      <c r="J399" s="320">
        <f t="shared" si="30"/>
        <v>17.455779999999997</v>
      </c>
      <c r="K399" s="320">
        <f t="shared" si="31"/>
        <v>10.59863</v>
      </c>
      <c r="L399" s="320">
        <f t="shared" si="32"/>
        <v>6.85715</v>
      </c>
    </row>
    <row r="400" spans="2:12" ht="19.5" customHeight="1">
      <c r="B400" s="234" t="s">
        <v>1025</v>
      </c>
      <c r="C400" s="235" t="s">
        <v>551</v>
      </c>
      <c r="D400" s="236">
        <v>0</v>
      </c>
      <c r="E400" s="236">
        <v>802.7</v>
      </c>
      <c r="F400" s="236">
        <v>135</v>
      </c>
      <c r="G400" s="236">
        <v>667.7</v>
      </c>
      <c r="I400" s="320">
        <f t="shared" si="29"/>
        <v>0</v>
      </c>
      <c r="J400" s="320">
        <f t="shared" si="30"/>
        <v>0.8027000000000001</v>
      </c>
      <c r="K400" s="320">
        <f t="shared" si="31"/>
        <v>0.135</v>
      </c>
      <c r="L400" s="320">
        <f t="shared" si="32"/>
        <v>0.6677000000000001</v>
      </c>
    </row>
    <row r="401" spans="2:12" ht="19.5" customHeight="1">
      <c r="B401" s="234" t="s">
        <v>1026</v>
      </c>
      <c r="C401" s="235" t="s">
        <v>552</v>
      </c>
      <c r="D401" s="236">
        <v>0</v>
      </c>
      <c r="E401" s="236">
        <v>2440.04</v>
      </c>
      <c r="F401" s="236">
        <v>69.08</v>
      </c>
      <c r="G401" s="236">
        <v>2370.96</v>
      </c>
      <c r="I401" s="320">
        <f t="shared" si="29"/>
        <v>0</v>
      </c>
      <c r="J401" s="320">
        <f t="shared" si="30"/>
        <v>2.4400399999999998</v>
      </c>
      <c r="K401" s="320">
        <f t="shared" si="31"/>
        <v>0.06908</v>
      </c>
      <c r="L401" s="320">
        <f t="shared" si="32"/>
        <v>2.37096</v>
      </c>
    </row>
    <row r="402" spans="2:12" ht="19.5" customHeight="1">
      <c r="B402" s="234" t="s">
        <v>1027</v>
      </c>
      <c r="C402" s="235" t="s">
        <v>553</v>
      </c>
      <c r="D402" s="236">
        <v>0</v>
      </c>
      <c r="E402" s="236">
        <v>3600</v>
      </c>
      <c r="F402" s="236"/>
      <c r="G402" s="236">
        <v>3600</v>
      </c>
      <c r="I402" s="320">
        <f t="shared" si="29"/>
        <v>0</v>
      </c>
      <c r="J402" s="320">
        <f t="shared" si="30"/>
        <v>3.6</v>
      </c>
      <c r="K402" s="320">
        <f t="shared" si="31"/>
        <v>0</v>
      </c>
      <c r="L402" s="320">
        <f t="shared" si="32"/>
        <v>3.6</v>
      </c>
    </row>
    <row r="403" spans="2:21" s="228" customFormat="1" ht="19.5" customHeight="1">
      <c r="B403" s="253" t="s">
        <v>1028</v>
      </c>
      <c r="C403" s="254" t="s">
        <v>250</v>
      </c>
      <c r="D403" s="255">
        <v>0</v>
      </c>
      <c r="E403" s="257">
        <v>2916314.71</v>
      </c>
      <c r="F403" s="257"/>
      <c r="G403" s="255">
        <v>2916314.71</v>
      </c>
      <c r="H403" s="256"/>
      <c r="I403" s="321">
        <f t="shared" si="29"/>
        <v>0</v>
      </c>
      <c r="J403" s="321">
        <f t="shared" si="30"/>
        <v>2916.31471</v>
      </c>
      <c r="K403" s="321">
        <f t="shared" si="31"/>
        <v>0</v>
      </c>
      <c r="L403" s="321">
        <f t="shared" si="32"/>
        <v>2916.31471</v>
      </c>
      <c r="O403" s="252"/>
      <c r="P403" s="252"/>
      <c r="Q403" s="252"/>
      <c r="R403" s="252"/>
      <c r="S403" s="252"/>
      <c r="T403" s="252"/>
      <c r="U403" s="252"/>
    </row>
    <row r="404" spans="2:12" ht="19.5" customHeight="1">
      <c r="B404" s="234" t="s">
        <v>1029</v>
      </c>
      <c r="C404" s="235" t="s">
        <v>554</v>
      </c>
      <c r="D404" s="236">
        <v>0</v>
      </c>
      <c r="E404" s="236">
        <v>2916314.71</v>
      </c>
      <c r="F404" s="236"/>
      <c r="G404" s="236">
        <v>2916314.71</v>
      </c>
      <c r="I404" s="320">
        <f t="shared" si="29"/>
        <v>0</v>
      </c>
      <c r="J404" s="320">
        <f t="shared" si="30"/>
        <v>2916.31471</v>
      </c>
      <c r="K404" s="320">
        <f t="shared" si="31"/>
        <v>0</v>
      </c>
      <c r="L404" s="320">
        <f t="shared" si="32"/>
        <v>2916.31471</v>
      </c>
    </row>
    <row r="405" spans="2:21" s="228" customFormat="1" ht="19.5" customHeight="1">
      <c r="B405" s="253" t="s">
        <v>1030</v>
      </c>
      <c r="C405" s="254" t="s">
        <v>280</v>
      </c>
      <c r="D405" s="255">
        <v>0</v>
      </c>
      <c r="E405" s="257">
        <v>6573.44</v>
      </c>
      <c r="F405" s="257"/>
      <c r="G405" s="255">
        <v>6573.44</v>
      </c>
      <c r="H405" s="256"/>
      <c r="I405" s="321">
        <f t="shared" si="29"/>
        <v>0</v>
      </c>
      <c r="J405" s="321">
        <f t="shared" si="30"/>
        <v>6.57344</v>
      </c>
      <c r="K405" s="321">
        <f t="shared" si="31"/>
        <v>0</v>
      </c>
      <c r="L405" s="321">
        <f t="shared" si="32"/>
        <v>6.57344</v>
      </c>
      <c r="O405" s="252"/>
      <c r="P405" s="252"/>
      <c r="Q405" s="252"/>
      <c r="R405" s="252"/>
      <c r="S405" s="252"/>
      <c r="T405" s="252"/>
      <c r="U405" s="252"/>
    </row>
    <row r="406" spans="2:12" ht="19.5" customHeight="1">
      <c r="B406" s="234" t="s">
        <v>1031</v>
      </c>
      <c r="C406" s="235" t="s">
        <v>555</v>
      </c>
      <c r="D406" s="236">
        <v>0</v>
      </c>
      <c r="E406" s="236">
        <v>6573.44</v>
      </c>
      <c r="F406" s="236"/>
      <c r="G406" s="236">
        <v>6573.44</v>
      </c>
      <c r="I406" s="320">
        <f t="shared" si="29"/>
        <v>0</v>
      </c>
      <c r="J406" s="320">
        <f t="shared" si="30"/>
        <v>6.57344</v>
      </c>
      <c r="K406" s="320">
        <f t="shared" si="31"/>
        <v>0</v>
      </c>
      <c r="L406" s="320">
        <f t="shared" si="32"/>
        <v>6.57344</v>
      </c>
    </row>
    <row r="407" spans="2:21" s="228" customFormat="1" ht="19.5" customHeight="1">
      <c r="B407" s="233" t="s">
        <v>1032</v>
      </c>
      <c r="C407" s="230" t="s">
        <v>556</v>
      </c>
      <c r="D407" s="231">
        <v>0</v>
      </c>
      <c r="E407" s="231">
        <v>294695.52</v>
      </c>
      <c r="F407" s="236"/>
      <c r="G407" s="231">
        <v>294695.52</v>
      </c>
      <c r="H407" s="232"/>
      <c r="I407" s="320">
        <f t="shared" si="29"/>
        <v>0</v>
      </c>
      <c r="J407" s="320">
        <f t="shared" si="30"/>
        <v>294.69552000000004</v>
      </c>
      <c r="K407" s="320">
        <f t="shared" si="31"/>
        <v>0</v>
      </c>
      <c r="L407" s="320">
        <f t="shared" si="32"/>
        <v>294.69552000000004</v>
      </c>
      <c r="O407" s="252"/>
      <c r="P407" s="252"/>
      <c r="Q407" s="252"/>
      <c r="R407" s="252"/>
      <c r="S407" s="252"/>
      <c r="T407" s="252"/>
      <c r="U407" s="252"/>
    </row>
    <row r="408" spans="2:21" s="228" customFormat="1" ht="19.5" customHeight="1">
      <c r="B408" s="253" t="s">
        <v>1033</v>
      </c>
      <c r="C408" s="254" t="s">
        <v>557</v>
      </c>
      <c r="D408" s="255">
        <v>0</v>
      </c>
      <c r="E408" s="255">
        <v>294695.52</v>
      </c>
      <c r="F408" s="257"/>
      <c r="G408" s="255">
        <v>294695.52</v>
      </c>
      <c r="H408" s="256"/>
      <c r="I408" s="321">
        <f t="shared" si="29"/>
        <v>0</v>
      </c>
      <c r="J408" s="321">
        <f t="shared" si="30"/>
        <v>294.69552000000004</v>
      </c>
      <c r="K408" s="321">
        <f t="shared" si="31"/>
        <v>0</v>
      </c>
      <c r="L408" s="321">
        <f t="shared" si="32"/>
        <v>294.69552000000004</v>
      </c>
      <c r="O408" s="252"/>
      <c r="P408" s="252"/>
      <c r="Q408" s="252"/>
      <c r="R408" s="252"/>
      <c r="S408" s="252"/>
      <c r="T408" s="252"/>
      <c r="U408" s="252"/>
    </row>
    <row r="409" spans="2:12" ht="19.5" customHeight="1">
      <c r="B409" s="234" t="s">
        <v>1034</v>
      </c>
      <c r="C409" s="235" t="s">
        <v>558</v>
      </c>
      <c r="D409" s="236">
        <v>0</v>
      </c>
      <c r="E409" s="236">
        <v>90092.32</v>
      </c>
      <c r="F409" s="236"/>
      <c r="G409" s="236">
        <v>90092.32</v>
      </c>
      <c r="I409" s="320">
        <f t="shared" si="29"/>
        <v>0</v>
      </c>
      <c r="J409" s="320">
        <f t="shared" si="30"/>
        <v>90.09232</v>
      </c>
      <c r="K409" s="320">
        <f t="shared" si="31"/>
        <v>0</v>
      </c>
      <c r="L409" s="320">
        <f t="shared" si="32"/>
        <v>90.09232</v>
      </c>
    </row>
    <row r="410" spans="2:12" ht="19.5" customHeight="1">
      <c r="B410" s="234" t="s">
        <v>1035</v>
      </c>
      <c r="C410" s="235" t="s">
        <v>559</v>
      </c>
      <c r="D410" s="236">
        <v>0</v>
      </c>
      <c r="E410" s="236">
        <v>17938</v>
      </c>
      <c r="F410" s="236"/>
      <c r="G410" s="236">
        <v>17938</v>
      </c>
      <c r="I410" s="320">
        <f t="shared" si="29"/>
        <v>0</v>
      </c>
      <c r="J410" s="320">
        <f t="shared" si="30"/>
        <v>17.938</v>
      </c>
      <c r="K410" s="320">
        <f t="shared" si="31"/>
        <v>0</v>
      </c>
      <c r="L410" s="320">
        <f t="shared" si="32"/>
        <v>17.938</v>
      </c>
    </row>
    <row r="411" spans="2:12" ht="19.5" customHeight="1">
      <c r="B411" s="234" t="s">
        <v>1036</v>
      </c>
      <c r="C411" s="235" t="s">
        <v>560</v>
      </c>
      <c r="D411" s="236">
        <v>0</v>
      </c>
      <c r="E411" s="236">
        <v>4132.26</v>
      </c>
      <c r="F411" s="236"/>
      <c r="G411" s="236">
        <v>4132.26</v>
      </c>
      <c r="I411" s="320">
        <f t="shared" si="29"/>
        <v>0</v>
      </c>
      <c r="J411" s="320">
        <f t="shared" si="30"/>
        <v>4.1322600000000005</v>
      </c>
      <c r="K411" s="320">
        <f t="shared" si="31"/>
        <v>0</v>
      </c>
      <c r="L411" s="320">
        <f t="shared" si="32"/>
        <v>4.1322600000000005</v>
      </c>
    </row>
    <row r="412" spans="2:12" ht="19.5" customHeight="1">
      <c r="B412" s="234" t="s">
        <v>1037</v>
      </c>
      <c r="C412" s="235" t="s">
        <v>561</v>
      </c>
      <c r="D412" s="236">
        <v>0</v>
      </c>
      <c r="E412" s="236">
        <v>44523</v>
      </c>
      <c r="F412" s="236"/>
      <c r="G412" s="236">
        <v>44523</v>
      </c>
      <c r="I412" s="320">
        <f t="shared" si="29"/>
        <v>0</v>
      </c>
      <c r="J412" s="320">
        <f t="shared" si="30"/>
        <v>44.523</v>
      </c>
      <c r="K412" s="320">
        <f t="shared" si="31"/>
        <v>0</v>
      </c>
      <c r="L412" s="320">
        <f t="shared" si="32"/>
        <v>44.523</v>
      </c>
    </row>
    <row r="413" spans="2:12" ht="19.5" customHeight="1">
      <c r="B413" s="234" t="s">
        <v>1038</v>
      </c>
      <c r="C413" s="235" t="s">
        <v>562</v>
      </c>
      <c r="D413" s="236">
        <v>0</v>
      </c>
      <c r="E413" s="236">
        <v>14295.82</v>
      </c>
      <c r="F413" s="236"/>
      <c r="G413" s="236">
        <v>14295.82</v>
      </c>
      <c r="I413" s="320">
        <f t="shared" si="29"/>
        <v>0</v>
      </c>
      <c r="J413" s="320">
        <f t="shared" si="30"/>
        <v>14.295819999999999</v>
      </c>
      <c r="K413" s="320">
        <f t="shared" si="31"/>
        <v>0</v>
      </c>
      <c r="L413" s="320">
        <f t="shared" si="32"/>
        <v>14.295819999999999</v>
      </c>
    </row>
    <row r="414" spans="2:12" ht="19.5" customHeight="1">
      <c r="B414" s="234" t="s">
        <v>1039</v>
      </c>
      <c r="C414" s="235" t="s">
        <v>563</v>
      </c>
      <c r="D414" s="236">
        <v>0</v>
      </c>
      <c r="E414" s="236">
        <v>3600</v>
      </c>
      <c r="F414" s="236"/>
      <c r="G414" s="236">
        <v>3600</v>
      </c>
      <c r="I414" s="320">
        <f t="shared" si="29"/>
        <v>0</v>
      </c>
      <c r="J414" s="320">
        <f t="shared" si="30"/>
        <v>3.6</v>
      </c>
      <c r="K414" s="320">
        <f t="shared" si="31"/>
        <v>0</v>
      </c>
      <c r="L414" s="320">
        <f t="shared" si="32"/>
        <v>3.6</v>
      </c>
    </row>
    <row r="415" spans="2:12" ht="19.5" customHeight="1">
      <c r="B415" s="234" t="s">
        <v>1040</v>
      </c>
      <c r="C415" s="235" t="s">
        <v>564</v>
      </c>
      <c r="D415" s="236">
        <v>0</v>
      </c>
      <c r="E415" s="236">
        <v>120114.12</v>
      </c>
      <c r="F415" s="236"/>
      <c r="G415" s="236">
        <v>120114.12</v>
      </c>
      <c r="I415" s="320">
        <f t="shared" si="29"/>
        <v>0</v>
      </c>
      <c r="J415" s="320">
        <f t="shared" si="30"/>
        <v>120.11412</v>
      </c>
      <c r="K415" s="320">
        <f t="shared" si="31"/>
        <v>0</v>
      </c>
      <c r="L415" s="320">
        <f t="shared" si="32"/>
        <v>120.11412</v>
      </c>
    </row>
    <row r="416" spans="2:21" s="228" customFormat="1" ht="19.5" customHeight="1">
      <c r="B416" s="253" t="s">
        <v>1041</v>
      </c>
      <c r="C416" s="254" t="s">
        <v>565</v>
      </c>
      <c r="D416" s="255">
        <v>0</v>
      </c>
      <c r="E416" s="255">
        <v>2858650.89</v>
      </c>
      <c r="F416" s="255">
        <v>302402.6</v>
      </c>
      <c r="G416" s="255">
        <v>2556248.29</v>
      </c>
      <c r="H416" s="256"/>
      <c r="I416" s="321">
        <f t="shared" si="29"/>
        <v>0</v>
      </c>
      <c r="J416" s="321">
        <f t="shared" si="30"/>
        <v>2858.6508900000003</v>
      </c>
      <c r="K416" s="321">
        <f t="shared" si="31"/>
        <v>302.40259999999995</v>
      </c>
      <c r="L416" s="321">
        <f t="shared" si="32"/>
        <v>2556.24829</v>
      </c>
      <c r="O416" s="252"/>
      <c r="P416" s="252"/>
      <c r="Q416" s="252"/>
      <c r="R416" s="252"/>
      <c r="S416" s="252"/>
      <c r="T416" s="252"/>
      <c r="U416" s="252"/>
    </row>
    <row r="417" spans="2:21" s="228" customFormat="1" ht="19.5" customHeight="1">
      <c r="B417" s="233" t="s">
        <v>1042</v>
      </c>
      <c r="C417" s="230" t="s">
        <v>566</v>
      </c>
      <c r="D417" s="231">
        <v>0</v>
      </c>
      <c r="E417" s="231">
        <v>2434642.65</v>
      </c>
      <c r="F417" s="231">
        <v>302402.6</v>
      </c>
      <c r="G417" s="231">
        <v>2132240.05</v>
      </c>
      <c r="H417" s="232"/>
      <c r="I417" s="320">
        <f aca="true" t="shared" si="33" ref="I417:I477">D417/1000</f>
        <v>0</v>
      </c>
      <c r="J417" s="320">
        <f aca="true" t="shared" si="34" ref="J417:J477">E417/1000</f>
        <v>2434.64265</v>
      </c>
      <c r="K417" s="320">
        <f aca="true" t="shared" si="35" ref="K417:K477">F417/1000</f>
        <v>302.40259999999995</v>
      </c>
      <c r="L417" s="320">
        <f aca="true" t="shared" si="36" ref="L417:L477">G417/1000</f>
        <v>2132.24005</v>
      </c>
      <c r="O417" s="252"/>
      <c r="P417" s="252"/>
      <c r="Q417" s="252"/>
      <c r="R417" s="252"/>
      <c r="S417" s="252"/>
      <c r="T417" s="252"/>
      <c r="U417" s="252"/>
    </row>
    <row r="418" spans="2:12" ht="19.5" customHeight="1">
      <c r="B418" s="234" t="s">
        <v>1043</v>
      </c>
      <c r="C418" s="235" t="s">
        <v>567</v>
      </c>
      <c r="D418" s="236">
        <v>0</v>
      </c>
      <c r="E418" s="236">
        <v>842502.94</v>
      </c>
      <c r="F418" s="236">
        <v>53222.04</v>
      </c>
      <c r="G418" s="236">
        <v>789280.9</v>
      </c>
      <c r="I418" s="320">
        <f t="shared" si="33"/>
        <v>0</v>
      </c>
      <c r="J418" s="320">
        <f t="shared" si="34"/>
        <v>842.50294</v>
      </c>
      <c r="K418" s="320">
        <f t="shared" si="35"/>
        <v>53.22204</v>
      </c>
      <c r="L418" s="320">
        <f t="shared" si="36"/>
        <v>789.2809</v>
      </c>
    </row>
    <row r="419" spans="2:12" ht="19.5" customHeight="1">
      <c r="B419" s="234" t="s">
        <v>1044</v>
      </c>
      <c r="C419" s="235" t="s">
        <v>568</v>
      </c>
      <c r="D419" s="236">
        <v>0</v>
      </c>
      <c r="E419" s="236">
        <v>1592139.71</v>
      </c>
      <c r="F419" s="236">
        <v>249180.56</v>
      </c>
      <c r="G419" s="236">
        <v>1342959.15</v>
      </c>
      <c r="I419" s="320">
        <f t="shared" si="33"/>
        <v>0</v>
      </c>
      <c r="J419" s="320">
        <f t="shared" si="34"/>
        <v>1592.13971</v>
      </c>
      <c r="K419" s="320">
        <f t="shared" si="35"/>
        <v>249.18055999999999</v>
      </c>
      <c r="L419" s="320">
        <f t="shared" si="36"/>
        <v>1342.95915</v>
      </c>
    </row>
    <row r="420" spans="2:21" s="228" customFormat="1" ht="19.5" customHeight="1">
      <c r="B420" s="233" t="s">
        <v>1045</v>
      </c>
      <c r="C420" s="230" t="s">
        <v>569</v>
      </c>
      <c r="D420" s="231">
        <v>0</v>
      </c>
      <c r="E420" s="231">
        <v>82475.19</v>
      </c>
      <c r="F420" s="236"/>
      <c r="G420" s="231">
        <v>82475.19</v>
      </c>
      <c r="H420" s="232"/>
      <c r="I420" s="320">
        <f t="shared" si="33"/>
        <v>0</v>
      </c>
      <c r="J420" s="320">
        <f t="shared" si="34"/>
        <v>82.47519</v>
      </c>
      <c r="K420" s="320">
        <f t="shared" si="35"/>
        <v>0</v>
      </c>
      <c r="L420" s="320">
        <f t="shared" si="36"/>
        <v>82.47519</v>
      </c>
      <c r="O420" s="252"/>
      <c r="P420" s="252"/>
      <c r="Q420" s="252"/>
      <c r="R420" s="252"/>
      <c r="S420" s="252"/>
      <c r="T420" s="252"/>
      <c r="U420" s="252"/>
    </row>
    <row r="421" spans="2:12" ht="19.5" customHeight="1">
      <c r="B421" s="234" t="s">
        <v>1046</v>
      </c>
      <c r="C421" s="235" t="s">
        <v>570</v>
      </c>
      <c r="D421" s="236">
        <v>0</v>
      </c>
      <c r="E421" s="236">
        <v>12289.8</v>
      </c>
      <c r="F421" s="236"/>
      <c r="G421" s="236">
        <v>12289.8</v>
      </c>
      <c r="I421" s="320">
        <f t="shared" si="33"/>
        <v>0</v>
      </c>
      <c r="J421" s="320">
        <f t="shared" si="34"/>
        <v>12.2898</v>
      </c>
      <c r="K421" s="320">
        <f t="shared" si="35"/>
        <v>0</v>
      </c>
      <c r="L421" s="320">
        <f t="shared" si="36"/>
        <v>12.2898</v>
      </c>
    </row>
    <row r="422" spans="2:12" ht="19.5" customHeight="1">
      <c r="B422" s="234" t="s">
        <v>1047</v>
      </c>
      <c r="C422" s="235" t="s">
        <v>571</v>
      </c>
      <c r="D422" s="236">
        <v>0</v>
      </c>
      <c r="E422" s="236">
        <v>61777.4</v>
      </c>
      <c r="F422" s="236"/>
      <c r="G422" s="236">
        <v>61777.4</v>
      </c>
      <c r="I422" s="320">
        <f t="shared" si="33"/>
        <v>0</v>
      </c>
      <c r="J422" s="320">
        <f t="shared" si="34"/>
        <v>61.7774</v>
      </c>
      <c r="K422" s="320">
        <f t="shared" si="35"/>
        <v>0</v>
      </c>
      <c r="L422" s="320">
        <f t="shared" si="36"/>
        <v>61.7774</v>
      </c>
    </row>
    <row r="423" spans="2:12" ht="19.5" customHeight="1">
      <c r="B423" s="234" t="s">
        <v>1048</v>
      </c>
      <c r="C423" s="235" t="s">
        <v>572</v>
      </c>
      <c r="D423" s="236">
        <v>0</v>
      </c>
      <c r="E423" s="236">
        <v>8407.99</v>
      </c>
      <c r="F423" s="236"/>
      <c r="G423" s="236">
        <v>8407.99</v>
      </c>
      <c r="I423" s="320">
        <f t="shared" si="33"/>
        <v>0</v>
      </c>
      <c r="J423" s="320">
        <f t="shared" si="34"/>
        <v>8.40799</v>
      </c>
      <c r="K423" s="320">
        <f t="shared" si="35"/>
        <v>0</v>
      </c>
      <c r="L423" s="320">
        <f t="shared" si="36"/>
        <v>8.40799</v>
      </c>
    </row>
    <row r="424" spans="2:21" s="228" customFormat="1" ht="19.5" customHeight="1">
      <c r="B424" s="233" t="s">
        <v>1049</v>
      </c>
      <c r="C424" s="230" t="s">
        <v>573</v>
      </c>
      <c r="D424" s="231">
        <v>0</v>
      </c>
      <c r="E424" s="231">
        <v>341533.05</v>
      </c>
      <c r="F424" s="236"/>
      <c r="G424" s="231">
        <v>341533.05</v>
      </c>
      <c r="H424" s="232"/>
      <c r="I424" s="320">
        <f t="shared" si="33"/>
        <v>0</v>
      </c>
      <c r="J424" s="320">
        <f t="shared" si="34"/>
        <v>341.53305</v>
      </c>
      <c r="K424" s="320">
        <f t="shared" si="35"/>
        <v>0</v>
      </c>
      <c r="L424" s="320">
        <f t="shared" si="36"/>
        <v>341.53305</v>
      </c>
      <c r="O424" s="252"/>
      <c r="P424" s="252"/>
      <c r="Q424" s="252"/>
      <c r="R424" s="252"/>
      <c r="S424" s="252"/>
      <c r="T424" s="252"/>
      <c r="U424" s="252"/>
    </row>
    <row r="425" spans="2:12" ht="19.5" customHeight="1">
      <c r="B425" s="234" t="s">
        <v>1050</v>
      </c>
      <c r="C425" s="235" t="s">
        <v>574</v>
      </c>
      <c r="D425" s="236">
        <v>0</v>
      </c>
      <c r="E425" s="236">
        <v>47128.4</v>
      </c>
      <c r="F425" s="236"/>
      <c r="G425" s="236">
        <v>47128.4</v>
      </c>
      <c r="I425" s="320">
        <f t="shared" si="33"/>
        <v>0</v>
      </c>
      <c r="J425" s="320">
        <f t="shared" si="34"/>
        <v>47.1284</v>
      </c>
      <c r="K425" s="320">
        <f t="shared" si="35"/>
        <v>0</v>
      </c>
      <c r="L425" s="320">
        <f t="shared" si="36"/>
        <v>47.1284</v>
      </c>
    </row>
    <row r="426" spans="2:12" ht="19.5" customHeight="1">
      <c r="B426" s="234" t="s">
        <v>1051</v>
      </c>
      <c r="C426" s="235" t="s">
        <v>575</v>
      </c>
      <c r="D426" s="236">
        <v>0</v>
      </c>
      <c r="E426" s="236">
        <v>53931.44</v>
      </c>
      <c r="F426" s="236"/>
      <c r="G426" s="236">
        <v>53931.44</v>
      </c>
      <c r="I426" s="320">
        <f t="shared" si="33"/>
        <v>0</v>
      </c>
      <c r="J426" s="320">
        <f t="shared" si="34"/>
        <v>53.93144</v>
      </c>
      <c r="K426" s="320">
        <f t="shared" si="35"/>
        <v>0</v>
      </c>
      <c r="L426" s="320">
        <f t="shared" si="36"/>
        <v>53.93144</v>
      </c>
    </row>
    <row r="427" spans="2:12" ht="19.5" customHeight="1">
      <c r="B427" s="234" t="s">
        <v>1052</v>
      </c>
      <c r="C427" s="235" t="s">
        <v>576</v>
      </c>
      <c r="D427" s="236">
        <v>0</v>
      </c>
      <c r="E427" s="236">
        <v>232548.54</v>
      </c>
      <c r="F427" s="236"/>
      <c r="G427" s="236">
        <v>232548.54</v>
      </c>
      <c r="I427" s="320">
        <f t="shared" si="33"/>
        <v>0</v>
      </c>
      <c r="J427" s="320">
        <f t="shared" si="34"/>
        <v>232.54854</v>
      </c>
      <c r="K427" s="320">
        <f t="shared" si="35"/>
        <v>0</v>
      </c>
      <c r="L427" s="320">
        <f t="shared" si="36"/>
        <v>232.54854</v>
      </c>
    </row>
    <row r="428" spans="2:12" ht="19.5" customHeight="1">
      <c r="B428" s="234" t="s">
        <v>1053</v>
      </c>
      <c r="C428" s="235" t="s">
        <v>577</v>
      </c>
      <c r="D428" s="237">
        <v>0</v>
      </c>
      <c r="E428" s="236">
        <v>7924.67</v>
      </c>
      <c r="F428" s="236"/>
      <c r="G428" s="237">
        <v>7924.67</v>
      </c>
      <c r="I428" s="320">
        <f t="shared" si="33"/>
        <v>0</v>
      </c>
      <c r="J428" s="320">
        <f t="shared" si="34"/>
        <v>7.92467</v>
      </c>
      <c r="K428" s="320">
        <f t="shared" si="35"/>
        <v>0</v>
      </c>
      <c r="L428" s="320">
        <f t="shared" si="36"/>
        <v>7.92467</v>
      </c>
    </row>
    <row r="429" spans="2:21" s="228" customFormat="1" ht="19.5" customHeight="1">
      <c r="B429" s="233" t="s">
        <v>1054</v>
      </c>
      <c r="C429" s="230" t="s">
        <v>578</v>
      </c>
      <c r="D429" s="238">
        <v>0</v>
      </c>
      <c r="E429" s="231">
        <v>175427.94</v>
      </c>
      <c r="F429" s="236">
        <v>15203.67</v>
      </c>
      <c r="G429" s="238">
        <v>160224.27</v>
      </c>
      <c r="H429" s="232"/>
      <c r="I429" s="320">
        <f t="shared" si="33"/>
        <v>0</v>
      </c>
      <c r="J429" s="320">
        <f t="shared" si="34"/>
        <v>175.42794</v>
      </c>
      <c r="K429" s="320">
        <f t="shared" si="35"/>
        <v>15.20367</v>
      </c>
      <c r="L429" s="320">
        <f t="shared" si="36"/>
        <v>160.22427</v>
      </c>
      <c r="O429" s="252"/>
      <c r="P429" s="252"/>
      <c r="Q429" s="252"/>
      <c r="R429" s="252"/>
      <c r="S429" s="252"/>
      <c r="T429" s="252"/>
      <c r="U429" s="252"/>
    </row>
    <row r="430" spans="2:21" s="228" customFormat="1" ht="19.5" customHeight="1">
      <c r="B430" s="253" t="s">
        <v>1055</v>
      </c>
      <c r="C430" s="254" t="s">
        <v>578</v>
      </c>
      <c r="D430" s="327">
        <v>0</v>
      </c>
      <c r="E430" s="255">
        <v>175427.94</v>
      </c>
      <c r="F430" s="257">
        <v>15203.67</v>
      </c>
      <c r="G430" s="327">
        <v>160224.27</v>
      </c>
      <c r="H430" s="256"/>
      <c r="I430" s="321">
        <f t="shared" si="33"/>
        <v>0</v>
      </c>
      <c r="J430" s="321">
        <f t="shared" si="34"/>
        <v>175.42794</v>
      </c>
      <c r="K430" s="321">
        <f t="shared" si="35"/>
        <v>15.20367</v>
      </c>
      <c r="L430" s="321">
        <f t="shared" si="36"/>
        <v>160.22427</v>
      </c>
      <c r="O430" s="252"/>
      <c r="P430" s="252"/>
      <c r="Q430" s="252"/>
      <c r="R430" s="252"/>
      <c r="S430" s="252"/>
      <c r="T430" s="252"/>
      <c r="U430" s="252"/>
    </row>
    <row r="431" spans="2:12" ht="19.5" customHeight="1">
      <c r="B431" s="234" t="s">
        <v>1056</v>
      </c>
      <c r="C431" s="235" t="s">
        <v>579</v>
      </c>
      <c r="D431" s="237">
        <v>0</v>
      </c>
      <c r="E431" s="236">
        <v>60933.32</v>
      </c>
      <c r="F431" s="236">
        <v>6152.55</v>
      </c>
      <c r="G431" s="237">
        <v>54780.77</v>
      </c>
      <c r="I431" s="320">
        <f t="shared" si="33"/>
        <v>0</v>
      </c>
      <c r="J431" s="320">
        <f t="shared" si="34"/>
        <v>60.93332</v>
      </c>
      <c r="K431" s="320">
        <f t="shared" si="35"/>
        <v>6.15255</v>
      </c>
      <c r="L431" s="320">
        <f t="shared" si="36"/>
        <v>54.78077</v>
      </c>
    </row>
    <row r="432" spans="2:12" ht="19.5" customHeight="1">
      <c r="B432" s="234" t="s">
        <v>1057</v>
      </c>
      <c r="C432" s="235" t="s">
        <v>580</v>
      </c>
      <c r="D432" s="237">
        <v>0</v>
      </c>
      <c r="E432" s="237">
        <v>40289.82</v>
      </c>
      <c r="F432" s="236">
        <v>9051.12</v>
      </c>
      <c r="G432" s="237">
        <v>31238.7</v>
      </c>
      <c r="I432" s="320">
        <f t="shared" si="33"/>
        <v>0</v>
      </c>
      <c r="J432" s="320">
        <f t="shared" si="34"/>
        <v>40.28982</v>
      </c>
      <c r="K432" s="320">
        <f t="shared" si="35"/>
        <v>9.051120000000001</v>
      </c>
      <c r="L432" s="320">
        <f t="shared" si="36"/>
        <v>31.2387</v>
      </c>
    </row>
    <row r="433" spans="2:12" ht="19.5" customHeight="1">
      <c r="B433" s="234" t="s">
        <v>1058</v>
      </c>
      <c r="C433" s="235" t="s">
        <v>581</v>
      </c>
      <c r="D433" s="237">
        <v>0</v>
      </c>
      <c r="E433" s="237">
        <v>74204.8</v>
      </c>
      <c r="F433" s="236"/>
      <c r="G433" s="237">
        <v>74204.8</v>
      </c>
      <c r="I433" s="320">
        <f t="shared" si="33"/>
        <v>0</v>
      </c>
      <c r="J433" s="320">
        <f t="shared" si="34"/>
        <v>74.2048</v>
      </c>
      <c r="K433" s="320">
        <f t="shared" si="35"/>
        <v>0</v>
      </c>
      <c r="L433" s="320">
        <f t="shared" si="36"/>
        <v>74.2048</v>
      </c>
    </row>
    <row r="434" spans="2:21" s="228" customFormat="1" ht="19.5" customHeight="1">
      <c r="B434" s="253" t="s">
        <v>1059</v>
      </c>
      <c r="C434" s="254" t="s">
        <v>582</v>
      </c>
      <c r="D434" s="327">
        <v>0</v>
      </c>
      <c r="E434" s="255">
        <v>181684.78</v>
      </c>
      <c r="F434" s="257">
        <v>9779.66</v>
      </c>
      <c r="G434" s="327">
        <v>171905.12</v>
      </c>
      <c r="H434" s="256"/>
      <c r="I434" s="321">
        <f t="shared" si="33"/>
        <v>0</v>
      </c>
      <c r="J434" s="321">
        <f t="shared" si="34"/>
        <v>181.68478</v>
      </c>
      <c r="K434" s="321">
        <f t="shared" si="35"/>
        <v>9.77966</v>
      </c>
      <c r="L434" s="321">
        <f t="shared" si="36"/>
        <v>171.90511999999998</v>
      </c>
      <c r="O434" s="252"/>
      <c r="P434" s="252"/>
      <c r="Q434" s="252"/>
      <c r="R434" s="252"/>
      <c r="S434" s="252"/>
      <c r="T434" s="252"/>
      <c r="U434" s="252"/>
    </row>
    <row r="435" spans="2:21" s="228" customFormat="1" ht="19.5" customHeight="1">
      <c r="B435" s="233" t="s">
        <v>1060</v>
      </c>
      <c r="C435" s="230" t="s">
        <v>582</v>
      </c>
      <c r="D435" s="238">
        <v>0</v>
      </c>
      <c r="E435" s="238">
        <v>181684.78</v>
      </c>
      <c r="F435" s="236">
        <v>9779.66</v>
      </c>
      <c r="G435" s="238">
        <v>171905.12</v>
      </c>
      <c r="H435" s="232"/>
      <c r="I435" s="320">
        <f t="shared" si="33"/>
        <v>0</v>
      </c>
      <c r="J435" s="320">
        <f t="shared" si="34"/>
        <v>181.68478</v>
      </c>
      <c r="K435" s="320">
        <f t="shared" si="35"/>
        <v>9.77966</v>
      </c>
      <c r="L435" s="320">
        <f t="shared" si="36"/>
        <v>171.90511999999998</v>
      </c>
      <c r="O435" s="252"/>
      <c r="P435" s="252"/>
      <c r="Q435" s="252"/>
      <c r="R435" s="252"/>
      <c r="S435" s="252"/>
      <c r="T435" s="252"/>
      <c r="U435" s="252"/>
    </row>
    <row r="436" spans="2:12" ht="19.5" customHeight="1">
      <c r="B436" s="234" t="s">
        <v>1061</v>
      </c>
      <c r="C436" s="235" t="s">
        <v>583</v>
      </c>
      <c r="D436" s="237">
        <v>0</v>
      </c>
      <c r="E436" s="236">
        <v>4989.5</v>
      </c>
      <c r="F436" s="236"/>
      <c r="G436" s="237">
        <v>4989.5</v>
      </c>
      <c r="I436" s="320">
        <f t="shared" si="33"/>
        <v>0</v>
      </c>
      <c r="J436" s="320">
        <f t="shared" si="34"/>
        <v>4.9895</v>
      </c>
      <c r="K436" s="320">
        <f t="shared" si="35"/>
        <v>0</v>
      </c>
      <c r="L436" s="320">
        <f t="shared" si="36"/>
        <v>4.9895</v>
      </c>
    </row>
    <row r="437" spans="2:12" ht="19.5" customHeight="1">
      <c r="B437" s="234" t="s">
        <v>1062</v>
      </c>
      <c r="C437" s="235" t="s">
        <v>584</v>
      </c>
      <c r="D437" s="237">
        <v>0</v>
      </c>
      <c r="E437" s="236">
        <v>12239.4</v>
      </c>
      <c r="F437" s="236">
        <v>335</v>
      </c>
      <c r="G437" s="237">
        <v>11904.4</v>
      </c>
      <c r="I437" s="320">
        <f t="shared" si="33"/>
        <v>0</v>
      </c>
      <c r="J437" s="320">
        <f t="shared" si="34"/>
        <v>12.2394</v>
      </c>
      <c r="K437" s="320">
        <f t="shared" si="35"/>
        <v>0.335</v>
      </c>
      <c r="L437" s="320">
        <f t="shared" si="36"/>
        <v>11.904399999999999</v>
      </c>
    </row>
    <row r="438" spans="2:12" ht="19.5" customHeight="1">
      <c r="B438" s="234" t="s">
        <v>1063</v>
      </c>
      <c r="C438" s="235" t="s">
        <v>585</v>
      </c>
      <c r="D438" s="237">
        <v>0</v>
      </c>
      <c r="E438" s="236">
        <v>36435.72</v>
      </c>
      <c r="F438" s="236">
        <v>5279.03</v>
      </c>
      <c r="G438" s="237">
        <v>31156.69</v>
      </c>
      <c r="I438" s="320">
        <f t="shared" si="33"/>
        <v>0</v>
      </c>
      <c r="J438" s="320">
        <f t="shared" si="34"/>
        <v>36.43572</v>
      </c>
      <c r="K438" s="320">
        <f t="shared" si="35"/>
        <v>5.27903</v>
      </c>
      <c r="L438" s="320">
        <f t="shared" si="36"/>
        <v>31.156689999999998</v>
      </c>
    </row>
    <row r="439" spans="2:12" ht="19.5" customHeight="1">
      <c r="B439" s="234" t="s">
        <v>1064</v>
      </c>
      <c r="C439" s="235" t="s">
        <v>586</v>
      </c>
      <c r="D439" s="237">
        <v>0</v>
      </c>
      <c r="E439" s="236">
        <v>88010.88</v>
      </c>
      <c r="F439" s="236">
        <v>2490</v>
      </c>
      <c r="G439" s="237">
        <v>85520.88</v>
      </c>
      <c r="I439" s="320">
        <f t="shared" si="33"/>
        <v>0</v>
      </c>
      <c r="J439" s="320">
        <f t="shared" si="34"/>
        <v>88.01088</v>
      </c>
      <c r="K439" s="320">
        <f t="shared" si="35"/>
        <v>2.49</v>
      </c>
      <c r="L439" s="320">
        <f t="shared" si="36"/>
        <v>85.52088</v>
      </c>
    </row>
    <row r="440" spans="2:12" ht="19.5" customHeight="1">
      <c r="B440" s="234" t="s">
        <v>1065</v>
      </c>
      <c r="C440" s="235" t="s">
        <v>587</v>
      </c>
      <c r="D440" s="237">
        <v>0</v>
      </c>
      <c r="E440" s="236">
        <v>15949.48</v>
      </c>
      <c r="F440" s="236">
        <v>1500.05</v>
      </c>
      <c r="G440" s="237">
        <v>14449.43</v>
      </c>
      <c r="I440" s="320">
        <f t="shared" si="33"/>
        <v>0</v>
      </c>
      <c r="J440" s="320">
        <f t="shared" si="34"/>
        <v>15.94948</v>
      </c>
      <c r="K440" s="320">
        <f t="shared" si="35"/>
        <v>1.5000499999999999</v>
      </c>
      <c r="L440" s="320">
        <f t="shared" si="36"/>
        <v>14.44943</v>
      </c>
    </row>
    <row r="441" spans="2:12" ht="19.5" customHeight="1">
      <c r="B441" s="234" t="s">
        <v>1066</v>
      </c>
      <c r="C441" s="235" t="s">
        <v>588</v>
      </c>
      <c r="D441" s="237">
        <v>0</v>
      </c>
      <c r="E441" s="236">
        <v>24059.8</v>
      </c>
      <c r="F441" s="236">
        <v>175.58</v>
      </c>
      <c r="G441" s="237">
        <v>23884.22</v>
      </c>
      <c r="I441" s="320">
        <f t="shared" si="33"/>
        <v>0</v>
      </c>
      <c r="J441" s="320">
        <f t="shared" si="34"/>
        <v>24.0598</v>
      </c>
      <c r="K441" s="320">
        <f t="shared" si="35"/>
        <v>0.17558</v>
      </c>
      <c r="L441" s="320">
        <f t="shared" si="36"/>
        <v>23.884220000000003</v>
      </c>
    </row>
    <row r="442" spans="2:21" s="228" customFormat="1" ht="19.5" customHeight="1">
      <c r="B442" s="233" t="s">
        <v>1067</v>
      </c>
      <c r="C442" s="230" t="s">
        <v>589</v>
      </c>
      <c r="D442" s="238">
        <v>0</v>
      </c>
      <c r="E442" s="231">
        <v>516030.22</v>
      </c>
      <c r="F442" s="231">
        <v>162736.03</v>
      </c>
      <c r="G442" s="238">
        <v>353294.19</v>
      </c>
      <c r="H442" s="232"/>
      <c r="I442" s="320">
        <f t="shared" si="33"/>
        <v>0</v>
      </c>
      <c r="J442" s="320">
        <f t="shared" si="34"/>
        <v>516.03022</v>
      </c>
      <c r="K442" s="320">
        <f t="shared" si="35"/>
        <v>162.73603</v>
      </c>
      <c r="L442" s="320">
        <f t="shared" si="36"/>
        <v>353.29419</v>
      </c>
      <c r="O442" s="252"/>
      <c r="P442" s="252"/>
      <c r="Q442" s="252"/>
      <c r="R442" s="252"/>
      <c r="S442" s="252"/>
      <c r="T442" s="252"/>
      <c r="U442" s="252"/>
    </row>
    <row r="443" spans="2:21" s="228" customFormat="1" ht="19.5" customHeight="1">
      <c r="B443" s="233" t="s">
        <v>1068</v>
      </c>
      <c r="C443" s="230" t="s">
        <v>590</v>
      </c>
      <c r="D443" s="238">
        <v>0</v>
      </c>
      <c r="E443" s="231">
        <v>516030.22</v>
      </c>
      <c r="F443" s="231">
        <v>162736.03</v>
      </c>
      <c r="G443" s="238">
        <v>353294.19</v>
      </c>
      <c r="H443" s="232"/>
      <c r="I443" s="320">
        <f t="shared" si="33"/>
        <v>0</v>
      </c>
      <c r="J443" s="320">
        <f t="shared" si="34"/>
        <v>516.03022</v>
      </c>
      <c r="K443" s="320">
        <f t="shared" si="35"/>
        <v>162.73603</v>
      </c>
      <c r="L443" s="320">
        <f t="shared" si="36"/>
        <v>353.29419</v>
      </c>
      <c r="O443" s="252"/>
      <c r="P443" s="252"/>
      <c r="Q443" s="252"/>
      <c r="R443" s="252"/>
      <c r="S443" s="252"/>
      <c r="T443" s="252"/>
      <c r="U443" s="252"/>
    </row>
    <row r="444" spans="2:12" ht="19.5" customHeight="1">
      <c r="B444" s="234" t="s">
        <v>1069</v>
      </c>
      <c r="C444" s="235" t="s">
        <v>591</v>
      </c>
      <c r="D444" s="237">
        <v>0</v>
      </c>
      <c r="E444" s="236">
        <v>1814.79</v>
      </c>
      <c r="F444" s="236">
        <v>133.88</v>
      </c>
      <c r="G444" s="237">
        <v>1680.91</v>
      </c>
      <c r="I444" s="320">
        <f t="shared" si="33"/>
        <v>0</v>
      </c>
      <c r="J444" s="320">
        <f t="shared" si="34"/>
        <v>1.81479</v>
      </c>
      <c r="K444" s="320">
        <f t="shared" si="35"/>
        <v>0.13388</v>
      </c>
      <c r="L444" s="320">
        <f t="shared" si="36"/>
        <v>1.6809100000000001</v>
      </c>
    </row>
    <row r="445" spans="2:12" ht="19.5" customHeight="1">
      <c r="B445" s="234" t="s">
        <v>1070</v>
      </c>
      <c r="C445" s="235" t="s">
        <v>592</v>
      </c>
      <c r="D445" s="237">
        <v>0</v>
      </c>
      <c r="E445" s="236">
        <v>196425.73</v>
      </c>
      <c r="F445" s="236">
        <v>79098.82</v>
      </c>
      <c r="G445" s="237">
        <v>117326.91</v>
      </c>
      <c r="I445" s="320">
        <f t="shared" si="33"/>
        <v>0</v>
      </c>
      <c r="J445" s="320">
        <f t="shared" si="34"/>
        <v>196.42573000000002</v>
      </c>
      <c r="K445" s="320">
        <f t="shared" si="35"/>
        <v>79.09882</v>
      </c>
      <c r="L445" s="320">
        <f t="shared" si="36"/>
        <v>117.32691</v>
      </c>
    </row>
    <row r="446" spans="2:12" ht="19.5" customHeight="1">
      <c r="B446" s="234" t="s">
        <v>1071</v>
      </c>
      <c r="C446" s="235" t="s">
        <v>254</v>
      </c>
      <c r="D446" s="237">
        <v>0</v>
      </c>
      <c r="E446" s="236">
        <v>207582.77</v>
      </c>
      <c r="F446" s="236">
        <v>39552.89</v>
      </c>
      <c r="G446" s="237">
        <v>168029.88</v>
      </c>
      <c r="I446" s="320">
        <f t="shared" si="33"/>
        <v>0</v>
      </c>
      <c r="J446" s="320">
        <f t="shared" si="34"/>
        <v>207.58276999999998</v>
      </c>
      <c r="K446" s="320">
        <f t="shared" si="35"/>
        <v>39.55289</v>
      </c>
      <c r="L446" s="320">
        <f t="shared" si="36"/>
        <v>168.02988</v>
      </c>
    </row>
    <row r="447" spans="2:12" ht="19.5" customHeight="1">
      <c r="B447" s="234" t="s">
        <v>1072</v>
      </c>
      <c r="C447" s="235" t="s">
        <v>593</v>
      </c>
      <c r="D447" s="237">
        <v>0</v>
      </c>
      <c r="E447" s="236">
        <v>867.2</v>
      </c>
      <c r="F447" s="236">
        <v>867.2</v>
      </c>
      <c r="G447" s="237">
        <v>0</v>
      </c>
      <c r="I447" s="320">
        <f t="shared" si="33"/>
        <v>0</v>
      </c>
      <c r="J447" s="320">
        <f t="shared" si="34"/>
        <v>0.8672000000000001</v>
      </c>
      <c r="K447" s="320">
        <f t="shared" si="35"/>
        <v>0.8672000000000001</v>
      </c>
      <c r="L447" s="320">
        <f t="shared" si="36"/>
        <v>0</v>
      </c>
    </row>
    <row r="448" spans="2:12" ht="19.5" customHeight="1">
      <c r="B448" s="234" t="s">
        <v>1073</v>
      </c>
      <c r="C448" s="235" t="s">
        <v>255</v>
      </c>
      <c r="D448" s="237">
        <v>0</v>
      </c>
      <c r="E448" s="236">
        <v>4332.38</v>
      </c>
      <c r="F448" s="236">
        <v>890.98</v>
      </c>
      <c r="G448" s="237">
        <v>3441.4</v>
      </c>
      <c r="I448" s="320">
        <f t="shared" si="33"/>
        <v>0</v>
      </c>
      <c r="J448" s="320">
        <f t="shared" si="34"/>
        <v>4.33238</v>
      </c>
      <c r="K448" s="320">
        <f t="shared" si="35"/>
        <v>0.89098</v>
      </c>
      <c r="L448" s="320">
        <f t="shared" si="36"/>
        <v>3.4414000000000002</v>
      </c>
    </row>
    <row r="449" spans="2:12" ht="19.5" customHeight="1">
      <c r="B449" s="234" t="s">
        <v>1074</v>
      </c>
      <c r="C449" s="235" t="s">
        <v>594</v>
      </c>
      <c r="D449" s="237">
        <v>0</v>
      </c>
      <c r="E449" s="236">
        <v>8339.63</v>
      </c>
      <c r="F449" s="236">
        <v>8339.63</v>
      </c>
      <c r="G449" s="237">
        <v>0</v>
      </c>
      <c r="I449" s="320">
        <f t="shared" si="33"/>
        <v>0</v>
      </c>
      <c r="J449" s="320">
        <f t="shared" si="34"/>
        <v>8.33963</v>
      </c>
      <c r="K449" s="320">
        <f t="shared" si="35"/>
        <v>8.33963</v>
      </c>
      <c r="L449" s="320">
        <f t="shared" si="36"/>
        <v>0</v>
      </c>
    </row>
    <row r="450" spans="2:12" ht="19.5" customHeight="1">
      <c r="B450" s="234" t="s">
        <v>1075</v>
      </c>
      <c r="C450" s="235" t="s">
        <v>595</v>
      </c>
      <c r="D450" s="237">
        <v>0</v>
      </c>
      <c r="E450" s="236">
        <v>96667.72</v>
      </c>
      <c r="F450" s="236">
        <v>33852.63</v>
      </c>
      <c r="G450" s="237">
        <v>62815.09</v>
      </c>
      <c r="I450" s="320">
        <f t="shared" si="33"/>
        <v>0</v>
      </c>
      <c r="J450" s="320">
        <f t="shared" si="34"/>
        <v>96.66772</v>
      </c>
      <c r="K450" s="320">
        <f t="shared" si="35"/>
        <v>33.85263</v>
      </c>
      <c r="L450" s="320">
        <f t="shared" si="36"/>
        <v>62.81509</v>
      </c>
    </row>
    <row r="451" spans="2:21" s="228" customFormat="1" ht="19.5" customHeight="1">
      <c r="B451" s="253" t="s">
        <v>1076</v>
      </c>
      <c r="C451" s="254" t="s">
        <v>596</v>
      </c>
      <c r="D451" s="327">
        <v>0</v>
      </c>
      <c r="E451" s="255">
        <v>199331.84</v>
      </c>
      <c r="F451" s="257">
        <v>145423.64</v>
      </c>
      <c r="G451" s="327">
        <v>53908.2</v>
      </c>
      <c r="H451" s="256"/>
      <c r="I451" s="321">
        <f t="shared" si="33"/>
        <v>0</v>
      </c>
      <c r="J451" s="321">
        <f t="shared" si="34"/>
        <v>199.33184</v>
      </c>
      <c r="K451" s="321">
        <f t="shared" si="35"/>
        <v>145.42364</v>
      </c>
      <c r="L451" s="321">
        <f t="shared" si="36"/>
        <v>53.908199999999994</v>
      </c>
      <c r="O451" s="252"/>
      <c r="P451" s="252"/>
      <c r="Q451" s="252"/>
      <c r="R451" s="252"/>
      <c r="S451" s="252"/>
      <c r="T451" s="252"/>
      <c r="U451" s="252"/>
    </row>
    <row r="452" spans="2:21" s="228" customFormat="1" ht="19.5" customHeight="1">
      <c r="B452" s="233" t="s">
        <v>1077</v>
      </c>
      <c r="C452" s="230" t="s">
        <v>597</v>
      </c>
      <c r="D452" s="238">
        <v>0</v>
      </c>
      <c r="E452" s="231">
        <v>199331.84</v>
      </c>
      <c r="F452" s="236">
        <v>145423.64</v>
      </c>
      <c r="G452" s="238">
        <v>53908.2</v>
      </c>
      <c r="H452" s="232"/>
      <c r="I452" s="320">
        <f t="shared" si="33"/>
        <v>0</v>
      </c>
      <c r="J452" s="320">
        <f t="shared" si="34"/>
        <v>199.33184</v>
      </c>
      <c r="K452" s="320">
        <f t="shared" si="35"/>
        <v>145.42364</v>
      </c>
      <c r="L452" s="320">
        <f t="shared" si="36"/>
        <v>53.908199999999994</v>
      </c>
      <c r="O452" s="252"/>
      <c r="P452" s="252"/>
      <c r="Q452" s="252"/>
      <c r="R452" s="252"/>
      <c r="S452" s="252"/>
      <c r="T452" s="252"/>
      <c r="U452" s="252"/>
    </row>
    <row r="453" spans="2:12" ht="19.5" customHeight="1">
      <c r="B453" s="234" t="s">
        <v>1078</v>
      </c>
      <c r="C453" s="235" t="s">
        <v>598</v>
      </c>
      <c r="D453" s="237">
        <v>0</v>
      </c>
      <c r="E453" s="236">
        <v>150016.77</v>
      </c>
      <c r="F453" s="236">
        <v>100000</v>
      </c>
      <c r="G453" s="237">
        <v>50016.77</v>
      </c>
      <c r="I453" s="320">
        <f t="shared" si="33"/>
        <v>0</v>
      </c>
      <c r="J453" s="320">
        <f t="shared" si="34"/>
        <v>150.01676999999998</v>
      </c>
      <c r="K453" s="320">
        <f t="shared" si="35"/>
        <v>100</v>
      </c>
      <c r="L453" s="320">
        <f t="shared" si="36"/>
        <v>50.016769999999994</v>
      </c>
    </row>
    <row r="454" spans="2:12" ht="19.5" customHeight="1">
      <c r="B454" s="234" t="s">
        <v>1079</v>
      </c>
      <c r="C454" s="235" t="s">
        <v>599</v>
      </c>
      <c r="D454" s="237">
        <v>0</v>
      </c>
      <c r="E454" s="236">
        <v>47656.27</v>
      </c>
      <c r="F454" s="236">
        <v>45423.64</v>
      </c>
      <c r="G454" s="237">
        <v>2232.63</v>
      </c>
      <c r="I454" s="320">
        <f t="shared" si="33"/>
        <v>0</v>
      </c>
      <c r="J454" s="320">
        <f t="shared" si="34"/>
        <v>47.65627</v>
      </c>
      <c r="K454" s="320">
        <f t="shared" si="35"/>
        <v>45.42364</v>
      </c>
      <c r="L454" s="320">
        <f t="shared" si="36"/>
        <v>2.23263</v>
      </c>
    </row>
    <row r="455" spans="2:12" ht="19.5" customHeight="1">
      <c r="B455" s="234" t="s">
        <v>1080</v>
      </c>
      <c r="C455" s="235" t="s">
        <v>600</v>
      </c>
      <c r="D455" s="237">
        <v>0</v>
      </c>
      <c r="E455" s="236">
        <v>432</v>
      </c>
      <c r="F455" s="236"/>
      <c r="G455" s="237">
        <v>432</v>
      </c>
      <c r="I455" s="320">
        <f t="shared" si="33"/>
        <v>0</v>
      </c>
      <c r="J455" s="320">
        <f t="shared" si="34"/>
        <v>0.432</v>
      </c>
      <c r="K455" s="320">
        <f t="shared" si="35"/>
        <v>0</v>
      </c>
      <c r="L455" s="320">
        <f t="shared" si="36"/>
        <v>0.432</v>
      </c>
    </row>
    <row r="456" spans="2:12" ht="19.5" customHeight="1">
      <c r="B456" s="234" t="s">
        <v>1081</v>
      </c>
      <c r="C456" s="235" t="s">
        <v>601</v>
      </c>
      <c r="D456" s="237">
        <v>0</v>
      </c>
      <c r="E456" s="237">
        <v>1226.8</v>
      </c>
      <c r="F456" s="236"/>
      <c r="G456" s="237">
        <v>1226.8</v>
      </c>
      <c r="I456" s="320">
        <f t="shared" si="33"/>
        <v>0</v>
      </c>
      <c r="J456" s="320">
        <f t="shared" si="34"/>
        <v>1.2268</v>
      </c>
      <c r="K456" s="320">
        <f t="shared" si="35"/>
        <v>0</v>
      </c>
      <c r="L456" s="320">
        <f t="shared" si="36"/>
        <v>1.2268</v>
      </c>
    </row>
    <row r="457" spans="2:21" s="228" customFormat="1" ht="19.5" customHeight="1">
      <c r="B457" s="253" t="s">
        <v>1082</v>
      </c>
      <c r="C457" s="254" t="s">
        <v>602</v>
      </c>
      <c r="D457" s="327">
        <v>0</v>
      </c>
      <c r="E457" s="257">
        <v>27840</v>
      </c>
      <c r="F457" s="257"/>
      <c r="G457" s="327">
        <v>27840</v>
      </c>
      <c r="H457" s="256"/>
      <c r="I457" s="321">
        <f t="shared" si="33"/>
        <v>0</v>
      </c>
      <c r="J457" s="321">
        <f t="shared" si="34"/>
        <v>27.84</v>
      </c>
      <c r="K457" s="321">
        <f t="shared" si="35"/>
        <v>0</v>
      </c>
      <c r="L457" s="321">
        <f t="shared" si="36"/>
        <v>27.84</v>
      </c>
      <c r="O457" s="252"/>
      <c r="P457" s="252"/>
      <c r="Q457" s="252"/>
      <c r="R457" s="252"/>
      <c r="S457" s="252"/>
      <c r="T457" s="252"/>
      <c r="U457" s="252"/>
    </row>
    <row r="458" spans="2:21" s="228" customFormat="1" ht="19.5" customHeight="1">
      <c r="B458" s="233" t="s">
        <v>1083</v>
      </c>
      <c r="C458" s="230" t="s">
        <v>603</v>
      </c>
      <c r="D458" s="238">
        <v>0</v>
      </c>
      <c r="E458" s="236">
        <v>27840</v>
      </c>
      <c r="F458" s="236"/>
      <c r="G458" s="238">
        <v>27840</v>
      </c>
      <c r="H458" s="232"/>
      <c r="I458" s="320">
        <f t="shared" si="33"/>
        <v>0</v>
      </c>
      <c r="J458" s="320">
        <f t="shared" si="34"/>
        <v>27.84</v>
      </c>
      <c r="K458" s="320">
        <f t="shared" si="35"/>
        <v>0</v>
      </c>
      <c r="L458" s="320">
        <f t="shared" si="36"/>
        <v>27.84</v>
      </c>
      <c r="O458" s="252"/>
      <c r="P458" s="252"/>
      <c r="Q458" s="252"/>
      <c r="R458" s="252"/>
      <c r="S458" s="252"/>
      <c r="T458" s="252"/>
      <c r="U458" s="252"/>
    </row>
    <row r="459" spans="2:12" ht="19.5" customHeight="1">
      <c r="B459" s="234" t="s">
        <v>1084</v>
      </c>
      <c r="C459" s="235" t="s">
        <v>604</v>
      </c>
      <c r="D459" s="237">
        <v>0</v>
      </c>
      <c r="E459" s="236">
        <v>27840</v>
      </c>
      <c r="F459" s="236"/>
      <c r="G459" s="237">
        <v>27840</v>
      </c>
      <c r="I459" s="320">
        <f t="shared" si="33"/>
        <v>0</v>
      </c>
      <c r="J459" s="320">
        <f t="shared" si="34"/>
        <v>27.84</v>
      </c>
      <c r="K459" s="320">
        <f t="shared" si="35"/>
        <v>0</v>
      </c>
      <c r="L459" s="320">
        <f t="shared" si="36"/>
        <v>27.84</v>
      </c>
    </row>
    <row r="460" spans="2:21" s="228" customFormat="1" ht="19.5" customHeight="1">
      <c r="B460" s="229" t="s">
        <v>1085</v>
      </c>
      <c r="C460" s="230" t="s">
        <v>256</v>
      </c>
      <c r="D460" s="238">
        <v>0</v>
      </c>
      <c r="E460" s="231">
        <v>21029356.88</v>
      </c>
      <c r="F460" s="231">
        <v>21029356.88</v>
      </c>
      <c r="G460" s="238">
        <v>0</v>
      </c>
      <c r="H460" s="232"/>
      <c r="I460" s="320">
        <f t="shared" si="33"/>
        <v>0</v>
      </c>
      <c r="J460" s="320">
        <f t="shared" si="34"/>
        <v>21029.35688</v>
      </c>
      <c r="K460" s="320">
        <f t="shared" si="35"/>
        <v>21029.35688</v>
      </c>
      <c r="L460" s="320">
        <f t="shared" si="36"/>
        <v>0</v>
      </c>
      <c r="O460" s="252"/>
      <c r="P460" s="252"/>
      <c r="Q460" s="252"/>
      <c r="R460" s="252"/>
      <c r="S460" s="252"/>
      <c r="T460" s="252"/>
      <c r="U460" s="252"/>
    </row>
    <row r="461" spans="2:21" s="228" customFormat="1" ht="19.5" customHeight="1">
      <c r="B461" s="233" t="s">
        <v>1086</v>
      </c>
      <c r="C461" s="230" t="s">
        <v>257</v>
      </c>
      <c r="D461" s="238">
        <v>0</v>
      </c>
      <c r="E461" s="238">
        <v>21029356.88</v>
      </c>
      <c r="F461" s="238">
        <v>21029356.88</v>
      </c>
      <c r="G461" s="238">
        <v>0</v>
      </c>
      <c r="H461" s="232"/>
      <c r="I461" s="320">
        <f t="shared" si="33"/>
        <v>0</v>
      </c>
      <c r="J461" s="320">
        <f t="shared" si="34"/>
        <v>21029.35688</v>
      </c>
      <c r="K461" s="320">
        <f t="shared" si="35"/>
        <v>21029.35688</v>
      </c>
      <c r="L461" s="320">
        <f t="shared" si="36"/>
        <v>0</v>
      </c>
      <c r="O461" s="252"/>
      <c r="P461" s="252"/>
      <c r="Q461" s="252"/>
      <c r="R461" s="252"/>
      <c r="S461" s="252"/>
      <c r="T461" s="252"/>
      <c r="U461" s="252"/>
    </row>
    <row r="462" spans="2:21" s="228" customFormat="1" ht="19.5" customHeight="1">
      <c r="B462" s="233" t="s">
        <v>1087</v>
      </c>
      <c r="C462" s="230" t="s">
        <v>258</v>
      </c>
      <c r="D462" s="238">
        <v>0</v>
      </c>
      <c r="E462" s="238">
        <v>7617.74</v>
      </c>
      <c r="F462" s="238">
        <v>7617.74</v>
      </c>
      <c r="G462" s="238">
        <v>0</v>
      </c>
      <c r="H462" s="232"/>
      <c r="I462" s="320">
        <f t="shared" si="33"/>
        <v>0</v>
      </c>
      <c r="J462" s="320">
        <f t="shared" si="34"/>
        <v>7.6177399999999995</v>
      </c>
      <c r="K462" s="320">
        <f t="shared" si="35"/>
        <v>7.6177399999999995</v>
      </c>
      <c r="L462" s="320">
        <f t="shared" si="36"/>
        <v>0</v>
      </c>
      <c r="O462" s="252"/>
      <c r="P462" s="252"/>
      <c r="Q462" s="252"/>
      <c r="R462" s="252"/>
      <c r="S462" s="252"/>
      <c r="T462" s="252"/>
      <c r="U462" s="252"/>
    </row>
    <row r="463" spans="2:21" s="228" customFormat="1" ht="19.5" customHeight="1">
      <c r="B463" s="233" t="s">
        <v>1088</v>
      </c>
      <c r="C463" s="230" t="s">
        <v>259</v>
      </c>
      <c r="D463" s="238">
        <v>0</v>
      </c>
      <c r="E463" s="231">
        <v>7617.74</v>
      </c>
      <c r="F463" s="231">
        <v>7617.74</v>
      </c>
      <c r="G463" s="238">
        <v>0</v>
      </c>
      <c r="H463" s="232"/>
      <c r="I463" s="320">
        <f t="shared" si="33"/>
        <v>0</v>
      </c>
      <c r="J463" s="320">
        <f t="shared" si="34"/>
        <v>7.6177399999999995</v>
      </c>
      <c r="K463" s="320">
        <f t="shared" si="35"/>
        <v>7.6177399999999995</v>
      </c>
      <c r="L463" s="320">
        <f t="shared" si="36"/>
        <v>0</v>
      </c>
      <c r="O463" s="252"/>
      <c r="P463" s="252"/>
      <c r="Q463" s="252"/>
      <c r="R463" s="252"/>
      <c r="S463" s="252"/>
      <c r="T463" s="252"/>
      <c r="U463" s="252"/>
    </row>
    <row r="464" spans="2:21" s="228" customFormat="1" ht="19.5" customHeight="1">
      <c r="B464" s="233" t="s">
        <v>1089</v>
      </c>
      <c r="C464" s="230" t="s">
        <v>260</v>
      </c>
      <c r="D464" s="238">
        <v>0</v>
      </c>
      <c r="E464" s="238">
        <v>271486.32</v>
      </c>
      <c r="F464" s="238">
        <v>271486.32</v>
      </c>
      <c r="G464" s="238">
        <v>0</v>
      </c>
      <c r="H464" s="232"/>
      <c r="I464" s="320">
        <f t="shared" si="33"/>
        <v>0</v>
      </c>
      <c r="J464" s="320">
        <f t="shared" si="34"/>
        <v>271.48632000000003</v>
      </c>
      <c r="K464" s="320">
        <f t="shared" si="35"/>
        <v>271.48632000000003</v>
      </c>
      <c r="L464" s="320">
        <f t="shared" si="36"/>
        <v>0</v>
      </c>
      <c r="O464" s="252"/>
      <c r="P464" s="252"/>
      <c r="Q464" s="252"/>
      <c r="R464" s="252"/>
      <c r="S464" s="252"/>
      <c r="T464" s="252"/>
      <c r="U464" s="252"/>
    </row>
    <row r="465" spans="2:21" s="228" customFormat="1" ht="19.5" customHeight="1">
      <c r="B465" s="233" t="s">
        <v>1090</v>
      </c>
      <c r="C465" s="230" t="s">
        <v>261</v>
      </c>
      <c r="D465" s="238">
        <v>0</v>
      </c>
      <c r="E465" s="238">
        <v>271486.32</v>
      </c>
      <c r="F465" s="238">
        <v>271486.32</v>
      </c>
      <c r="G465" s="238">
        <v>0</v>
      </c>
      <c r="H465" s="232"/>
      <c r="I465" s="320">
        <f t="shared" si="33"/>
        <v>0</v>
      </c>
      <c r="J465" s="320">
        <f t="shared" si="34"/>
        <v>271.48632000000003</v>
      </c>
      <c r="K465" s="320">
        <f t="shared" si="35"/>
        <v>271.48632000000003</v>
      </c>
      <c r="L465" s="320">
        <f t="shared" si="36"/>
        <v>0</v>
      </c>
      <c r="O465" s="252"/>
      <c r="P465" s="252"/>
      <c r="Q465" s="252"/>
      <c r="R465" s="252"/>
      <c r="S465" s="252"/>
      <c r="T465" s="252"/>
      <c r="U465" s="252"/>
    </row>
    <row r="466" spans="2:21" s="228" customFormat="1" ht="19.5" customHeight="1">
      <c r="B466" s="233" t="s">
        <v>1091</v>
      </c>
      <c r="C466" s="230" t="s">
        <v>262</v>
      </c>
      <c r="D466" s="238">
        <v>0</v>
      </c>
      <c r="E466" s="238">
        <v>271486.32</v>
      </c>
      <c r="F466" s="238">
        <v>271486.32</v>
      </c>
      <c r="G466" s="238">
        <v>0</v>
      </c>
      <c r="H466" s="232"/>
      <c r="I466" s="320">
        <f t="shared" si="33"/>
        <v>0</v>
      </c>
      <c r="J466" s="320">
        <f t="shared" si="34"/>
        <v>271.48632000000003</v>
      </c>
      <c r="K466" s="320">
        <f t="shared" si="35"/>
        <v>271.48632000000003</v>
      </c>
      <c r="L466" s="320">
        <f t="shared" si="36"/>
        <v>0</v>
      </c>
      <c r="O466" s="252"/>
      <c r="P466" s="252"/>
      <c r="Q466" s="252"/>
      <c r="R466" s="252"/>
      <c r="S466" s="252"/>
      <c r="T466" s="252"/>
      <c r="U466" s="252"/>
    </row>
    <row r="467" spans="2:12" ht="19.5" customHeight="1">
      <c r="B467" s="234" t="s">
        <v>1092</v>
      </c>
      <c r="C467" s="235" t="s">
        <v>263</v>
      </c>
      <c r="D467" s="237">
        <v>0</v>
      </c>
      <c r="E467" s="237">
        <v>36909.7</v>
      </c>
      <c r="F467" s="237">
        <v>36909.7</v>
      </c>
      <c r="G467" s="237">
        <v>0</v>
      </c>
      <c r="I467" s="320">
        <f t="shared" si="33"/>
        <v>0</v>
      </c>
      <c r="J467" s="320">
        <f t="shared" si="34"/>
        <v>36.909699999999994</v>
      </c>
      <c r="K467" s="320">
        <f t="shared" si="35"/>
        <v>36.909699999999994</v>
      </c>
      <c r="L467" s="320">
        <f t="shared" si="36"/>
        <v>0</v>
      </c>
    </row>
    <row r="468" spans="2:12" ht="19.5" customHeight="1">
      <c r="B468" s="234" t="s">
        <v>1093</v>
      </c>
      <c r="C468" s="235" t="s">
        <v>264</v>
      </c>
      <c r="D468" s="237">
        <v>0</v>
      </c>
      <c r="E468" s="237">
        <v>10983.6</v>
      </c>
      <c r="F468" s="237">
        <v>10983.6</v>
      </c>
      <c r="G468" s="237">
        <v>0</v>
      </c>
      <c r="I468" s="320">
        <f t="shared" si="33"/>
        <v>0</v>
      </c>
      <c r="J468" s="320">
        <f t="shared" si="34"/>
        <v>10.983600000000001</v>
      </c>
      <c r="K468" s="320">
        <f t="shared" si="35"/>
        <v>10.983600000000001</v>
      </c>
      <c r="L468" s="320">
        <f t="shared" si="36"/>
        <v>0</v>
      </c>
    </row>
    <row r="469" spans="2:12" ht="19.5" customHeight="1">
      <c r="B469" s="234" t="s">
        <v>1094</v>
      </c>
      <c r="C469" s="235" t="s">
        <v>265</v>
      </c>
      <c r="D469" s="237">
        <v>0</v>
      </c>
      <c r="E469" s="237">
        <v>117480.23</v>
      </c>
      <c r="F469" s="237">
        <v>117480.23</v>
      </c>
      <c r="G469" s="237">
        <v>0</v>
      </c>
      <c r="I469" s="320">
        <f t="shared" si="33"/>
        <v>0</v>
      </c>
      <c r="J469" s="320">
        <f t="shared" si="34"/>
        <v>117.48022999999999</v>
      </c>
      <c r="K469" s="320">
        <f t="shared" si="35"/>
        <v>117.48022999999999</v>
      </c>
      <c r="L469" s="320">
        <f t="shared" si="36"/>
        <v>0</v>
      </c>
    </row>
    <row r="470" spans="2:12" ht="19.5" customHeight="1">
      <c r="B470" s="234" t="s">
        <v>1095</v>
      </c>
      <c r="C470" s="235" t="s">
        <v>266</v>
      </c>
      <c r="D470" s="237">
        <v>0</v>
      </c>
      <c r="E470" s="237">
        <v>64726.8</v>
      </c>
      <c r="F470" s="237">
        <v>64726.8</v>
      </c>
      <c r="G470" s="237">
        <v>0</v>
      </c>
      <c r="I470" s="320">
        <f t="shared" si="33"/>
        <v>0</v>
      </c>
      <c r="J470" s="320">
        <f t="shared" si="34"/>
        <v>64.7268</v>
      </c>
      <c r="K470" s="320">
        <f t="shared" si="35"/>
        <v>64.7268</v>
      </c>
      <c r="L470" s="320">
        <f t="shared" si="36"/>
        <v>0</v>
      </c>
    </row>
    <row r="471" spans="2:12" ht="19.5" customHeight="1">
      <c r="B471" s="234" t="s">
        <v>1096</v>
      </c>
      <c r="C471" s="235" t="s">
        <v>267</v>
      </c>
      <c r="D471" s="237">
        <v>0</v>
      </c>
      <c r="E471" s="237">
        <v>27358.6</v>
      </c>
      <c r="F471" s="237">
        <v>27358.6</v>
      </c>
      <c r="G471" s="237">
        <v>0</v>
      </c>
      <c r="I471" s="320">
        <f t="shared" si="33"/>
        <v>0</v>
      </c>
      <c r="J471" s="320">
        <f t="shared" si="34"/>
        <v>27.3586</v>
      </c>
      <c r="K471" s="320">
        <f t="shared" si="35"/>
        <v>27.3586</v>
      </c>
      <c r="L471" s="320">
        <f t="shared" si="36"/>
        <v>0</v>
      </c>
    </row>
    <row r="472" spans="2:12" ht="19.5" customHeight="1">
      <c r="B472" s="234" t="s">
        <v>1097</v>
      </c>
      <c r="C472" s="235" t="s">
        <v>605</v>
      </c>
      <c r="D472" s="237">
        <v>0</v>
      </c>
      <c r="E472" s="236">
        <v>4364.73</v>
      </c>
      <c r="F472" s="236">
        <v>4364.73</v>
      </c>
      <c r="G472" s="237">
        <v>0</v>
      </c>
      <c r="I472" s="320">
        <f t="shared" si="33"/>
        <v>0</v>
      </c>
      <c r="J472" s="320">
        <f t="shared" si="34"/>
        <v>4.36473</v>
      </c>
      <c r="K472" s="320">
        <f t="shared" si="35"/>
        <v>4.36473</v>
      </c>
      <c r="L472" s="320">
        <f t="shared" si="36"/>
        <v>0</v>
      </c>
    </row>
    <row r="473" spans="2:12" ht="19.5" customHeight="1">
      <c r="B473" s="234" t="s">
        <v>1098</v>
      </c>
      <c r="C473" s="235" t="s">
        <v>268</v>
      </c>
      <c r="D473" s="237">
        <v>0</v>
      </c>
      <c r="E473" s="237">
        <v>9662.66</v>
      </c>
      <c r="F473" s="237">
        <v>9662.66</v>
      </c>
      <c r="G473" s="237">
        <v>0</v>
      </c>
      <c r="I473" s="320">
        <f t="shared" si="33"/>
        <v>0</v>
      </c>
      <c r="J473" s="320">
        <f t="shared" si="34"/>
        <v>9.66266</v>
      </c>
      <c r="K473" s="320">
        <f t="shared" si="35"/>
        <v>9.66266</v>
      </c>
      <c r="L473" s="320">
        <f t="shared" si="36"/>
        <v>0</v>
      </c>
    </row>
    <row r="474" spans="2:21" s="228" customFormat="1" ht="19.5" customHeight="1">
      <c r="B474" s="233" t="s">
        <v>1099</v>
      </c>
      <c r="C474" s="230" t="s">
        <v>269</v>
      </c>
      <c r="D474" s="238">
        <v>0</v>
      </c>
      <c r="E474" s="238">
        <v>20750252.82</v>
      </c>
      <c r="F474" s="238">
        <v>20750252.82</v>
      </c>
      <c r="G474" s="238">
        <v>0</v>
      </c>
      <c r="H474" s="232"/>
      <c r="I474" s="320">
        <f t="shared" si="33"/>
        <v>0</v>
      </c>
      <c r="J474" s="320">
        <f t="shared" si="34"/>
        <v>20750.25282</v>
      </c>
      <c r="K474" s="320">
        <f t="shared" si="35"/>
        <v>20750.25282</v>
      </c>
      <c r="L474" s="320">
        <f t="shared" si="36"/>
        <v>0</v>
      </c>
      <c r="O474" s="252"/>
      <c r="P474" s="252"/>
      <c r="Q474" s="252"/>
      <c r="R474" s="252"/>
      <c r="S474" s="252"/>
      <c r="T474" s="252"/>
      <c r="U474" s="252"/>
    </row>
    <row r="475" spans="2:21" s="228" customFormat="1" ht="19.5" customHeight="1">
      <c r="B475" s="233" t="s">
        <v>1100</v>
      </c>
      <c r="C475" s="230" t="s">
        <v>270</v>
      </c>
      <c r="D475" s="238">
        <v>0</v>
      </c>
      <c r="E475" s="238">
        <v>20750252.82</v>
      </c>
      <c r="F475" s="238">
        <v>20750252.82</v>
      </c>
      <c r="G475" s="238">
        <v>0</v>
      </c>
      <c r="H475" s="232"/>
      <c r="I475" s="320">
        <f t="shared" si="33"/>
        <v>0</v>
      </c>
      <c r="J475" s="320">
        <f t="shared" si="34"/>
        <v>20750.25282</v>
      </c>
      <c r="K475" s="320">
        <f t="shared" si="35"/>
        <v>20750.25282</v>
      </c>
      <c r="L475" s="320">
        <f t="shared" si="36"/>
        <v>0</v>
      </c>
      <c r="O475" s="252"/>
      <c r="P475" s="252"/>
      <c r="Q475" s="252"/>
      <c r="R475" s="252"/>
      <c r="S475" s="252"/>
      <c r="T475" s="252"/>
      <c r="U475" s="252"/>
    </row>
    <row r="476" spans="2:21" s="228" customFormat="1" ht="19.5" customHeight="1">
      <c r="B476" s="233" t="s">
        <v>1101</v>
      </c>
      <c r="C476" s="230" t="s">
        <v>270</v>
      </c>
      <c r="D476" s="238">
        <v>0</v>
      </c>
      <c r="E476" s="238">
        <v>20750252.82</v>
      </c>
      <c r="F476" s="238">
        <v>20750252.82</v>
      </c>
      <c r="G476" s="238">
        <v>0</v>
      </c>
      <c r="H476" s="232"/>
      <c r="I476" s="320">
        <f t="shared" si="33"/>
        <v>0</v>
      </c>
      <c r="J476" s="320">
        <f t="shared" si="34"/>
        <v>20750.25282</v>
      </c>
      <c r="K476" s="320">
        <f t="shared" si="35"/>
        <v>20750.25282</v>
      </c>
      <c r="L476" s="320">
        <f t="shared" si="36"/>
        <v>0</v>
      </c>
      <c r="O476" s="252"/>
      <c r="P476" s="252"/>
      <c r="Q476" s="252"/>
      <c r="R476" s="252"/>
      <c r="S476" s="252"/>
      <c r="T476" s="252"/>
      <c r="U476" s="252"/>
    </row>
    <row r="477" spans="2:12" ht="19.5" customHeight="1">
      <c r="B477" s="234" t="s">
        <v>1102</v>
      </c>
      <c r="C477" s="235" t="s">
        <v>271</v>
      </c>
      <c r="D477" s="237">
        <v>0</v>
      </c>
      <c r="E477" s="237">
        <v>20750252.82</v>
      </c>
      <c r="F477" s="237">
        <v>20750252.82</v>
      </c>
      <c r="G477" s="237">
        <v>0</v>
      </c>
      <c r="I477" s="320">
        <f t="shared" si="33"/>
        <v>0</v>
      </c>
      <c r="J477" s="320">
        <f t="shared" si="34"/>
        <v>20750.25282</v>
      </c>
      <c r="K477" s="320">
        <f t="shared" si="35"/>
        <v>20750.25282</v>
      </c>
      <c r="L477" s="320">
        <f t="shared" si="36"/>
        <v>0</v>
      </c>
    </row>
    <row r="478" spans="4:21" s="228" customFormat="1" ht="19.5" customHeight="1">
      <c r="D478" s="239"/>
      <c r="E478" s="239"/>
      <c r="F478" s="239"/>
      <c r="G478" s="239"/>
      <c r="H478" s="232"/>
      <c r="I478" s="322"/>
      <c r="J478" s="322"/>
      <c r="K478" s="322"/>
      <c r="L478" s="322"/>
      <c r="O478" s="252"/>
      <c r="P478" s="252"/>
      <c r="Q478" s="252"/>
      <c r="R478" s="252"/>
      <c r="S478" s="252"/>
      <c r="T478" s="252"/>
      <c r="U478" s="252"/>
    </row>
    <row r="479" spans="3:21" s="228" customFormat="1" ht="19.5" customHeight="1">
      <c r="C479" s="228" t="s">
        <v>272</v>
      </c>
      <c r="D479" s="239">
        <v>88379135.65</v>
      </c>
      <c r="E479" s="239">
        <v>287038642.12</v>
      </c>
      <c r="F479" s="239">
        <v>279022237.5</v>
      </c>
      <c r="G479" s="239">
        <v>96395540.27</v>
      </c>
      <c r="H479" s="232"/>
      <c r="I479" s="322"/>
      <c r="J479" s="322"/>
      <c r="K479" s="322"/>
      <c r="L479" s="322"/>
      <c r="O479" s="252"/>
      <c r="P479" s="252"/>
      <c r="Q479" s="252"/>
      <c r="R479" s="252"/>
      <c r="S479" s="252"/>
      <c r="T479" s="252"/>
      <c r="U479" s="252"/>
    </row>
    <row r="480" spans="3:21" s="228" customFormat="1" ht="19.5" customHeight="1">
      <c r="C480" s="228" t="s">
        <v>273</v>
      </c>
      <c r="D480" s="239">
        <v>-88379135.65</v>
      </c>
      <c r="E480" s="239">
        <v>96591599.65</v>
      </c>
      <c r="F480" s="239">
        <v>98941009.17</v>
      </c>
      <c r="G480" s="239">
        <v>-90728545.17</v>
      </c>
      <c r="H480" s="232"/>
      <c r="I480" s="322"/>
      <c r="J480" s="322"/>
      <c r="K480" s="322"/>
      <c r="L480" s="322"/>
      <c r="O480" s="252"/>
      <c r="P480" s="252"/>
      <c r="Q480" s="252"/>
      <c r="R480" s="252"/>
      <c r="S480" s="252"/>
      <c r="T480" s="252"/>
      <c r="U480" s="252"/>
    </row>
    <row r="481" spans="3:21" s="228" customFormat="1" ht="19.5" customHeight="1">
      <c r="C481" s="228" t="s">
        <v>274</v>
      </c>
      <c r="D481" s="239">
        <v>0</v>
      </c>
      <c r="E481" s="239">
        <v>62831740.42</v>
      </c>
      <c r="F481" s="239">
        <v>68498735.52</v>
      </c>
      <c r="G481" s="239">
        <v>-5666995.1</v>
      </c>
      <c r="H481" s="232"/>
      <c r="I481" s="322"/>
      <c r="J481" s="322"/>
      <c r="K481" s="322"/>
      <c r="L481" s="322"/>
      <c r="O481" s="252"/>
      <c r="P481" s="252"/>
      <c r="Q481" s="252"/>
      <c r="R481" s="252"/>
      <c r="S481" s="252"/>
      <c r="T481" s="252"/>
      <c r="U481" s="252"/>
    </row>
    <row r="482" spans="4:21" s="228" customFormat="1" ht="19.5" customHeight="1">
      <c r="D482" s="239"/>
      <c r="E482" s="239"/>
      <c r="F482" s="239"/>
      <c r="G482" s="239"/>
      <c r="H482" s="232"/>
      <c r="I482" s="322"/>
      <c r="J482" s="322"/>
      <c r="K482" s="322"/>
      <c r="L482" s="322"/>
      <c r="O482" s="252"/>
      <c r="P482" s="252"/>
      <c r="Q482" s="252"/>
      <c r="R482" s="252"/>
      <c r="S482" s="252"/>
      <c r="T482" s="252"/>
      <c r="U482" s="252"/>
    </row>
    <row r="483" spans="3:21" s="228" customFormat="1" ht="19.5" customHeight="1">
      <c r="C483" s="228" t="s">
        <v>275</v>
      </c>
      <c r="D483" s="239">
        <v>5.960464477539063E-09</v>
      </c>
      <c r="E483" s="239">
        <v>446461982.19</v>
      </c>
      <c r="F483" s="239">
        <v>446461982.19</v>
      </c>
      <c r="G483" s="239">
        <v>-4.097819328308106E-09</v>
      </c>
      <c r="H483" s="232"/>
      <c r="I483" s="322"/>
      <c r="J483" s="322"/>
      <c r="K483" s="322"/>
      <c r="L483" s="322"/>
      <c r="O483" s="252"/>
      <c r="P483" s="252"/>
      <c r="Q483" s="252"/>
      <c r="R483" s="252"/>
      <c r="S483" s="252"/>
      <c r="T483" s="252"/>
      <c r="U483" s="252"/>
    </row>
  </sheetData>
  <sheetProtection/>
  <printOptions/>
  <pageMargins left="0.25" right="0.25" top="0.75" bottom="0.75" header="0.3" footer="0.3"/>
  <pageSetup fitToHeight="0" fitToWidth="1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58"/>
  <sheetViews>
    <sheetView showGridLines="0" tabSelected="1" zoomScale="85" zoomScaleNormal="85" zoomScaleSheetLayoutView="85" zoomScalePageLayoutView="0" workbookViewId="0" topLeftCell="A1">
      <selection activeCell="U23" sqref="U23"/>
    </sheetView>
  </sheetViews>
  <sheetFormatPr defaultColWidth="9.140625" defaultRowHeight="12.75" customHeight="1"/>
  <cols>
    <col min="1" max="1" width="4.140625" style="36" customWidth="1"/>
    <col min="2" max="2" width="31.421875" style="36" customWidth="1"/>
    <col min="3" max="3" width="1.421875" style="36" customWidth="1"/>
    <col min="4" max="4" width="12.140625" style="46" customWidth="1"/>
    <col min="5" max="5" width="15.8515625" style="36" bestFit="1" customWidth="1"/>
    <col min="6" max="6" width="1.421875" style="36" customWidth="1"/>
    <col min="7" max="7" width="11.28125" style="36" customWidth="1"/>
    <col min="8" max="8" width="1.421875" style="36" customWidth="1"/>
    <col min="9" max="9" width="2.140625" style="36" customWidth="1"/>
    <col min="10" max="10" width="31.421875" style="36" customWidth="1"/>
    <col min="11" max="11" width="1.421875" style="36" customWidth="1"/>
    <col min="12" max="12" width="12.140625" style="46" customWidth="1"/>
    <col min="13" max="13" width="1.421875" style="36" customWidth="1"/>
    <col min="14" max="14" width="12.140625" style="36" bestFit="1" customWidth="1"/>
    <col min="15" max="15" width="1.421875" style="36" customWidth="1"/>
    <col min="16" max="16" width="13.57421875" style="36" customWidth="1"/>
    <col min="17" max="17" width="1.421875" style="36" customWidth="1"/>
    <col min="18" max="18" width="10.57421875" style="36" bestFit="1" customWidth="1"/>
    <col min="19" max="19" width="1.421875" style="36" customWidth="1"/>
    <col min="20" max="20" width="15.8515625" style="72" bestFit="1" customWidth="1"/>
    <col min="21" max="21" width="14.7109375" style="36" bestFit="1" customWidth="1"/>
    <col min="22" max="23" width="12.8515625" style="36" bestFit="1" customWidth="1"/>
    <col min="24" max="16384" width="9.140625" style="36" customWidth="1"/>
  </cols>
  <sheetData>
    <row r="1" spans="2:16" ht="12.75" customHeight="1">
      <c r="B1" s="37"/>
      <c r="C1" s="37"/>
      <c r="D1" s="37"/>
      <c r="E1" s="38"/>
      <c r="F1" s="38"/>
      <c r="G1" s="38"/>
      <c r="H1" s="38"/>
      <c r="I1" s="38"/>
      <c r="J1" s="38"/>
      <c r="K1" s="38"/>
      <c r="L1" s="37"/>
      <c r="M1" s="38"/>
      <c r="N1" s="38"/>
      <c r="O1" s="38"/>
      <c r="P1" s="38"/>
    </row>
    <row r="2" spans="2:16" ht="12.75" customHeight="1">
      <c r="B2" s="207"/>
      <c r="C2" s="207"/>
      <c r="D2" s="207"/>
      <c r="E2" s="38"/>
      <c r="F2" s="38"/>
      <c r="G2" s="38"/>
      <c r="H2" s="38"/>
      <c r="I2" s="38"/>
      <c r="J2" s="38"/>
      <c r="K2" s="38"/>
      <c r="L2" s="207"/>
      <c r="M2" s="38"/>
      <c r="N2" s="38"/>
      <c r="O2" s="38"/>
      <c r="P2" s="38"/>
    </row>
    <row r="3" spans="2:16" ht="12.75" customHeight="1">
      <c r="B3" s="207"/>
      <c r="C3" s="207"/>
      <c r="D3" s="207"/>
      <c r="E3" s="38"/>
      <c r="F3" s="38"/>
      <c r="G3" s="38"/>
      <c r="H3" s="38"/>
      <c r="I3" s="38"/>
      <c r="J3" s="38"/>
      <c r="K3" s="38"/>
      <c r="L3" s="207"/>
      <c r="M3" s="38"/>
      <c r="N3" s="38"/>
      <c r="O3" s="38"/>
      <c r="P3" s="38"/>
    </row>
    <row r="4" spans="2:16" ht="12.75" customHeight="1">
      <c r="B4" s="207"/>
      <c r="C4" s="207"/>
      <c r="D4" s="207"/>
      <c r="E4" s="38"/>
      <c r="F4" s="38"/>
      <c r="G4" s="38"/>
      <c r="H4" s="38"/>
      <c r="I4" s="38"/>
      <c r="J4" s="38"/>
      <c r="K4" s="38"/>
      <c r="L4" s="207"/>
      <c r="M4" s="38"/>
      <c r="N4" s="38"/>
      <c r="O4" s="38"/>
      <c r="P4" s="38"/>
    </row>
    <row r="5" spans="2:16" ht="12.75" customHeight="1">
      <c r="B5" s="207"/>
      <c r="C5" s="207"/>
      <c r="D5" s="207"/>
      <c r="E5" s="38"/>
      <c r="F5" s="38"/>
      <c r="G5" s="38"/>
      <c r="H5" s="38"/>
      <c r="I5" s="38"/>
      <c r="J5" s="38"/>
      <c r="K5" s="38"/>
      <c r="L5" s="207"/>
      <c r="M5" s="38"/>
      <c r="N5" s="38"/>
      <c r="O5" s="38"/>
      <c r="P5" s="38"/>
    </row>
    <row r="6" spans="2:16" ht="12.75" customHeight="1">
      <c r="B6" s="207"/>
      <c r="C6" s="207"/>
      <c r="D6" s="207"/>
      <c r="E6" s="38"/>
      <c r="F6" s="38"/>
      <c r="G6" s="38"/>
      <c r="H6" s="38"/>
      <c r="I6" s="38"/>
      <c r="J6" s="38"/>
      <c r="K6" s="38"/>
      <c r="L6" s="207"/>
      <c r="M6" s="38"/>
      <c r="N6" s="38"/>
      <c r="O6" s="38"/>
      <c r="P6" s="38"/>
    </row>
    <row r="7" spans="2:16" ht="12.75" customHeight="1">
      <c r="B7" s="37" t="s">
        <v>0</v>
      </c>
      <c r="C7" s="37"/>
      <c r="D7" s="37"/>
      <c r="E7" s="38"/>
      <c r="F7" s="38"/>
      <c r="G7" s="38"/>
      <c r="H7" s="38"/>
      <c r="I7" s="38"/>
      <c r="J7" s="38"/>
      <c r="K7" s="38"/>
      <c r="L7" s="37"/>
      <c r="M7" s="38"/>
      <c r="N7" s="38"/>
      <c r="O7" s="38"/>
      <c r="P7" s="38"/>
    </row>
    <row r="8" spans="2:16" ht="12.75" customHeight="1">
      <c r="B8" s="37"/>
      <c r="C8" s="37"/>
      <c r="D8" s="37"/>
      <c r="E8" s="38"/>
      <c r="F8" s="38"/>
      <c r="G8" s="38"/>
      <c r="H8" s="38"/>
      <c r="I8" s="38"/>
      <c r="J8" s="38"/>
      <c r="K8" s="38"/>
      <c r="L8" s="37"/>
      <c r="M8" s="38"/>
      <c r="N8" s="38"/>
      <c r="O8" s="38"/>
      <c r="P8" s="38"/>
    </row>
    <row r="9" spans="2:16" ht="12.75" customHeight="1">
      <c r="B9" s="37" t="s">
        <v>323</v>
      </c>
      <c r="C9" s="37"/>
      <c r="D9" s="37"/>
      <c r="E9" s="38"/>
      <c r="F9" s="38"/>
      <c r="G9" s="38"/>
      <c r="H9" s="38"/>
      <c r="I9" s="38"/>
      <c r="J9" s="38"/>
      <c r="K9" s="38"/>
      <c r="L9" s="37"/>
      <c r="M9" s="38"/>
      <c r="N9" s="38"/>
      <c r="O9" s="38"/>
      <c r="P9" s="38"/>
    </row>
    <row r="10" spans="2:16" ht="12.75" customHeight="1">
      <c r="B10" s="37" t="s">
        <v>1</v>
      </c>
      <c r="C10" s="37"/>
      <c r="D10" s="37"/>
      <c r="E10" s="38"/>
      <c r="F10" s="38"/>
      <c r="G10" s="38"/>
      <c r="H10" s="38"/>
      <c r="I10" s="38"/>
      <c r="J10" s="38"/>
      <c r="K10" s="38"/>
      <c r="L10" s="37"/>
      <c r="M10" s="38"/>
      <c r="N10" s="38"/>
      <c r="O10" s="38"/>
      <c r="P10" s="38"/>
    </row>
    <row r="11" spans="2:16" ht="12.75" customHeight="1">
      <c r="B11" s="37"/>
      <c r="C11" s="37"/>
      <c r="D11" s="37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8"/>
      <c r="P11" s="38"/>
    </row>
    <row r="12" spans="2:16" ht="12.75" customHeight="1">
      <c r="B12" s="38"/>
      <c r="C12" s="38"/>
      <c r="D12" s="39" t="s">
        <v>2</v>
      </c>
      <c r="E12" s="38"/>
      <c r="F12" s="38"/>
      <c r="G12" s="38"/>
      <c r="H12" s="38"/>
      <c r="I12" s="38"/>
      <c r="J12" s="38"/>
      <c r="K12" s="38"/>
      <c r="L12" s="39" t="s">
        <v>2</v>
      </c>
      <c r="M12" s="38"/>
      <c r="N12" s="38"/>
      <c r="O12" s="38"/>
      <c r="P12" s="38"/>
    </row>
    <row r="13" spans="2:16" ht="15.75">
      <c r="B13" s="40" t="s">
        <v>3</v>
      </c>
      <c r="C13" s="38"/>
      <c r="D13" s="41" t="s">
        <v>4</v>
      </c>
      <c r="E13" s="41">
        <v>2019</v>
      </c>
      <c r="F13" s="38"/>
      <c r="G13" s="41">
        <v>2018</v>
      </c>
      <c r="H13" s="38"/>
      <c r="I13" s="38"/>
      <c r="J13" s="40" t="s">
        <v>5</v>
      </c>
      <c r="K13" s="38"/>
      <c r="L13" s="41" t="s">
        <v>4</v>
      </c>
      <c r="M13" s="38"/>
      <c r="N13" s="41">
        <v>2019</v>
      </c>
      <c r="O13" s="38"/>
      <c r="P13" s="41">
        <v>2018</v>
      </c>
    </row>
    <row r="14" spans="2:16" ht="12.75" customHeight="1">
      <c r="B14" s="38"/>
      <c r="C14" s="38"/>
      <c r="D14" s="42"/>
      <c r="E14" s="43"/>
      <c r="F14" s="44"/>
      <c r="G14" s="43"/>
      <c r="H14" s="44"/>
      <c r="I14" s="38"/>
      <c r="J14" s="38"/>
      <c r="K14" s="38"/>
      <c r="L14" s="42"/>
      <c r="M14" s="44"/>
      <c r="N14" s="43"/>
      <c r="O14" s="44"/>
      <c r="P14" s="43"/>
    </row>
    <row r="15" spans="2:16" ht="12.75" customHeight="1">
      <c r="B15" s="153" t="s">
        <v>6</v>
      </c>
      <c r="C15" s="153"/>
      <c r="D15" s="45"/>
      <c r="E15" s="38"/>
      <c r="F15" s="44"/>
      <c r="G15" s="38"/>
      <c r="H15" s="44"/>
      <c r="I15" s="38"/>
      <c r="J15" s="153" t="s">
        <v>7</v>
      </c>
      <c r="K15" s="153"/>
      <c r="M15" s="44"/>
      <c r="N15" s="38"/>
      <c r="O15" s="38"/>
      <c r="P15" s="38"/>
    </row>
    <row r="16" spans="2:19" ht="15.75">
      <c r="B16" s="47" t="s">
        <v>8</v>
      </c>
      <c r="C16" s="48"/>
      <c r="D16" s="49">
        <v>5</v>
      </c>
      <c r="E16" s="50">
        <v>15177</v>
      </c>
      <c r="F16" s="156"/>
      <c r="G16" s="50">
        <v>9949</v>
      </c>
      <c r="H16" s="51"/>
      <c r="I16" s="38"/>
      <c r="J16" s="47" t="s">
        <v>60</v>
      </c>
      <c r="K16" s="48"/>
      <c r="L16" s="49">
        <v>12</v>
      </c>
      <c r="M16" s="51"/>
      <c r="N16" s="50">
        <v>4289</v>
      </c>
      <c r="O16" s="155"/>
      <c r="P16" s="50">
        <v>1964</v>
      </c>
      <c r="Q16" s="52"/>
      <c r="R16" s="53"/>
      <c r="S16" s="52">
        <f>1413+183-164</f>
        <v>1432</v>
      </c>
    </row>
    <row r="17" spans="2:21" ht="15.75">
      <c r="B17" s="47" t="s">
        <v>9</v>
      </c>
      <c r="C17" s="48"/>
      <c r="D17" s="49">
        <v>6</v>
      </c>
      <c r="E17" s="50">
        <v>3931</v>
      </c>
      <c r="F17" s="156"/>
      <c r="G17" s="50">
        <v>4080</v>
      </c>
      <c r="H17" s="51"/>
      <c r="I17" s="38"/>
      <c r="J17" s="47" t="s">
        <v>10</v>
      </c>
      <c r="K17" s="48"/>
      <c r="L17" s="49">
        <v>13</v>
      </c>
      <c r="M17" s="51"/>
      <c r="N17" s="50">
        <v>2008</v>
      </c>
      <c r="O17" s="156"/>
      <c r="P17" s="50">
        <v>2072</v>
      </c>
      <c r="Q17" s="52"/>
      <c r="R17" s="53"/>
      <c r="S17" s="52"/>
      <c r="U17" s="50"/>
    </row>
    <row r="18" spans="2:21" ht="15.75">
      <c r="B18" s="47" t="s">
        <v>606</v>
      </c>
      <c r="C18" s="48"/>
      <c r="D18" s="49"/>
      <c r="E18" s="50">
        <v>3</v>
      </c>
      <c r="F18" s="156"/>
      <c r="G18" s="240">
        <v>0</v>
      </c>
      <c r="H18" s="51"/>
      <c r="I18" s="38"/>
      <c r="J18" s="47" t="s">
        <v>12</v>
      </c>
      <c r="K18" s="48"/>
      <c r="L18" s="49">
        <v>14</v>
      </c>
      <c r="M18" s="51"/>
      <c r="N18" s="50">
        <v>818</v>
      </c>
      <c r="O18" s="156"/>
      <c r="P18" s="50">
        <v>771</v>
      </c>
      <c r="Q18" s="52"/>
      <c r="R18" s="53"/>
      <c r="S18" s="52"/>
      <c r="U18" s="50"/>
    </row>
    <row r="19" spans="2:21" ht="15.75">
      <c r="B19" s="47" t="s">
        <v>11</v>
      </c>
      <c r="C19" s="48"/>
      <c r="D19" s="49">
        <v>7</v>
      </c>
      <c r="E19" s="50">
        <v>215</v>
      </c>
      <c r="F19" s="156"/>
      <c r="G19" s="50">
        <v>226</v>
      </c>
      <c r="H19" s="51"/>
      <c r="I19" s="38"/>
      <c r="J19" s="47" t="s">
        <v>61</v>
      </c>
      <c r="K19" s="48"/>
      <c r="L19" s="49">
        <v>15</v>
      </c>
      <c r="M19" s="51"/>
      <c r="N19" s="50">
        <v>406</v>
      </c>
      <c r="O19" s="156"/>
      <c r="P19" s="50">
        <v>446</v>
      </c>
      <c r="Q19" s="52"/>
      <c r="R19" s="53"/>
      <c r="S19" s="52"/>
      <c r="U19" s="54"/>
    </row>
    <row r="20" spans="2:21" ht="15.75">
      <c r="B20" s="47" t="s">
        <v>15</v>
      </c>
      <c r="C20" s="48"/>
      <c r="D20" s="49">
        <v>8</v>
      </c>
      <c r="E20" s="50">
        <v>300</v>
      </c>
      <c r="F20" s="156"/>
      <c r="G20" s="50">
        <v>408</v>
      </c>
      <c r="H20" s="51"/>
      <c r="I20" s="38"/>
      <c r="J20" s="47" t="s">
        <v>14</v>
      </c>
      <c r="K20" s="48"/>
      <c r="L20" s="49"/>
      <c r="M20" s="51"/>
      <c r="N20" s="62">
        <v>308</v>
      </c>
      <c r="O20" s="156"/>
      <c r="P20" s="62">
        <v>212</v>
      </c>
      <c r="Q20" s="52"/>
      <c r="R20" s="53"/>
      <c r="S20" s="52"/>
      <c r="U20" s="50"/>
    </row>
    <row r="21" spans="2:22" ht="15.75">
      <c r="B21" s="47" t="s">
        <v>13</v>
      </c>
      <c r="C21" s="48"/>
      <c r="D21" s="49">
        <v>9</v>
      </c>
      <c r="E21" s="55">
        <v>375</v>
      </c>
      <c r="F21" s="156"/>
      <c r="G21" s="55">
        <v>383</v>
      </c>
      <c r="H21" s="51"/>
      <c r="I21" s="38"/>
      <c r="N21" s="56"/>
      <c r="O21" s="56"/>
      <c r="P21" s="56"/>
      <c r="Q21" s="52"/>
      <c r="R21" s="53"/>
      <c r="S21" s="52"/>
      <c r="U21" s="56"/>
      <c r="V21" s="57"/>
    </row>
    <row r="22" spans="2:23" s="46" customFormat="1" ht="15.75">
      <c r="B22" s="163" t="s">
        <v>16</v>
      </c>
      <c r="C22" s="163"/>
      <c r="D22" s="49"/>
      <c r="E22" s="69">
        <f>SUM(E16:E21)</f>
        <v>20001</v>
      </c>
      <c r="F22" s="157"/>
      <c r="G22" s="69">
        <f>SUM(G16:G21)</f>
        <v>15046</v>
      </c>
      <c r="H22" s="45"/>
      <c r="I22" s="37"/>
      <c r="J22" s="163" t="s">
        <v>17</v>
      </c>
      <c r="K22" s="163"/>
      <c r="L22" s="45"/>
      <c r="M22" s="45"/>
      <c r="N22" s="69">
        <f>SUM(N16:N20)</f>
        <v>7829</v>
      </c>
      <c r="O22" s="157"/>
      <c r="P22" s="69">
        <f>SUM(P16:P20)</f>
        <v>5465</v>
      </c>
      <c r="Q22" s="165"/>
      <c r="R22" s="165"/>
      <c r="S22" s="165"/>
      <c r="T22" s="72"/>
      <c r="U22" s="132"/>
      <c r="V22" s="132"/>
      <c r="W22" s="166"/>
    </row>
    <row r="23" spans="4:22" ht="12.75" customHeight="1">
      <c r="D23" s="49"/>
      <c r="E23" s="52"/>
      <c r="F23" s="52"/>
      <c r="G23" s="52"/>
      <c r="I23" s="38"/>
      <c r="N23" s="52"/>
      <c r="O23" s="52"/>
      <c r="P23" s="52"/>
      <c r="Q23" s="61"/>
      <c r="R23" s="61"/>
      <c r="S23" s="61"/>
      <c r="U23" s="62"/>
      <c r="V23" s="56"/>
    </row>
    <row r="24" spans="2:22" ht="12.75" customHeight="1">
      <c r="B24" s="153"/>
      <c r="C24" s="153"/>
      <c r="D24" s="49"/>
      <c r="E24" s="58"/>
      <c r="F24" s="156"/>
      <c r="G24" s="58"/>
      <c r="H24" s="44"/>
      <c r="I24" s="38"/>
      <c r="J24" s="153"/>
      <c r="K24" s="153"/>
      <c r="L24" s="45"/>
      <c r="M24" s="45"/>
      <c r="N24" s="52"/>
      <c r="O24" s="157"/>
      <c r="P24" s="52"/>
      <c r="U24" s="62"/>
      <c r="V24" s="56"/>
    </row>
    <row r="25" spans="2:22" ht="15.75">
      <c r="B25" s="153" t="s">
        <v>314</v>
      </c>
      <c r="C25" s="153"/>
      <c r="D25" s="49"/>
      <c r="E25" s="58"/>
      <c r="F25" s="156"/>
      <c r="G25" s="58"/>
      <c r="H25" s="44"/>
      <c r="I25" s="38"/>
      <c r="J25" s="153" t="s">
        <v>18</v>
      </c>
      <c r="K25" s="153"/>
      <c r="L25" s="63"/>
      <c r="M25" s="44"/>
      <c r="N25" s="52"/>
      <c r="O25" s="181"/>
      <c r="P25" s="52"/>
      <c r="R25" s="64"/>
      <c r="U25" s="65"/>
      <c r="V25" s="56"/>
    </row>
    <row r="26" spans="2:22" ht="15.75">
      <c r="B26" s="47" t="s">
        <v>311</v>
      </c>
      <c r="C26" s="48"/>
      <c r="D26" s="49"/>
      <c r="E26" s="66">
        <v>0</v>
      </c>
      <c r="F26" s="156"/>
      <c r="G26" s="66">
        <f>G27</f>
        <v>0</v>
      </c>
      <c r="H26" s="51"/>
      <c r="I26" s="38"/>
      <c r="J26" s="47" t="s">
        <v>20</v>
      </c>
      <c r="K26" s="48"/>
      <c r="L26" s="63">
        <v>16</v>
      </c>
      <c r="M26" s="51"/>
      <c r="N26" s="55">
        <v>12</v>
      </c>
      <c r="O26" s="156"/>
      <c r="P26" s="55">
        <v>7</v>
      </c>
      <c r="Q26" s="52"/>
      <c r="R26" s="53"/>
      <c r="S26" s="52"/>
      <c r="U26" s="65"/>
      <c r="V26" s="67"/>
    </row>
    <row r="27" spans="2:22" ht="15.75">
      <c r="B27" s="47" t="s">
        <v>19</v>
      </c>
      <c r="C27" s="48"/>
      <c r="D27" s="49"/>
      <c r="E27" s="66">
        <v>0</v>
      </c>
      <c r="F27" s="156"/>
      <c r="G27" s="66">
        <v>0</v>
      </c>
      <c r="H27" s="51"/>
      <c r="I27" s="38"/>
      <c r="J27" s="153" t="s">
        <v>22</v>
      </c>
      <c r="K27" s="153"/>
      <c r="L27" s="45"/>
      <c r="M27" s="44"/>
      <c r="N27" s="180">
        <f>N26</f>
        <v>12</v>
      </c>
      <c r="O27" s="156"/>
      <c r="P27" s="180">
        <f>P26</f>
        <v>7</v>
      </c>
      <c r="Q27" s="52"/>
      <c r="R27" s="53"/>
      <c r="S27" s="52"/>
      <c r="U27" s="65"/>
      <c r="V27" s="68"/>
    </row>
    <row r="28" spans="2:22" ht="12.75" customHeight="1">
      <c r="B28" s="47"/>
      <c r="C28" s="48"/>
      <c r="D28" s="49"/>
      <c r="E28" s="66">
        <v>0</v>
      </c>
      <c r="F28" s="156"/>
      <c r="G28" s="178"/>
      <c r="H28" s="51"/>
      <c r="I28" s="38"/>
      <c r="J28" s="38"/>
      <c r="K28" s="38"/>
      <c r="L28" s="45"/>
      <c r="M28" s="44"/>
      <c r="N28" s="181"/>
      <c r="O28" s="156"/>
      <c r="P28" s="181"/>
      <c r="R28" s="53"/>
      <c r="U28" s="62"/>
      <c r="V28" s="68"/>
    </row>
    <row r="29" spans="2:22" ht="15.75">
      <c r="B29" s="47" t="s">
        <v>21</v>
      </c>
      <c r="C29" s="48"/>
      <c r="D29" s="49">
        <v>10</v>
      </c>
      <c r="E29" s="50">
        <v>75770</v>
      </c>
      <c r="F29" s="156"/>
      <c r="G29" s="50">
        <v>72708</v>
      </c>
      <c r="H29" s="44"/>
      <c r="I29" s="38"/>
      <c r="J29" s="153" t="s">
        <v>25</v>
      </c>
      <c r="K29" s="153"/>
      <c r="L29" s="70">
        <v>17</v>
      </c>
      <c r="M29" s="44"/>
      <c r="N29" s="181"/>
      <c r="O29" s="181"/>
      <c r="P29" s="181"/>
      <c r="U29" s="62"/>
      <c r="V29" s="71"/>
    </row>
    <row r="30" spans="2:22" ht="15.75">
      <c r="B30" s="47" t="s">
        <v>23</v>
      </c>
      <c r="C30" s="48"/>
      <c r="D30" s="49">
        <v>11</v>
      </c>
      <c r="E30" s="178">
        <v>625</v>
      </c>
      <c r="F30" s="156"/>
      <c r="G30" s="178">
        <v>625</v>
      </c>
      <c r="I30" s="38"/>
      <c r="J30" s="47" t="s">
        <v>26</v>
      </c>
      <c r="K30" s="48"/>
      <c r="L30" s="63"/>
      <c r="M30" s="51"/>
      <c r="N30" s="178">
        <v>66312</v>
      </c>
      <c r="O30" s="156"/>
      <c r="P30" s="178">
        <v>38089</v>
      </c>
      <c r="R30" s="60"/>
      <c r="U30" s="62"/>
      <c r="V30" s="71"/>
    </row>
    <row r="31" spans="2:22" ht="15.75">
      <c r="B31" s="153" t="s">
        <v>24</v>
      </c>
      <c r="C31" s="153"/>
      <c r="D31" s="49"/>
      <c r="E31" s="179">
        <f>E29+E30</f>
        <v>76395</v>
      </c>
      <c r="F31" s="156"/>
      <c r="G31" s="179">
        <f>G29+G30</f>
        <v>73333</v>
      </c>
      <c r="H31" s="44"/>
      <c r="I31" s="38"/>
      <c r="J31" s="47" t="s">
        <v>27</v>
      </c>
      <c r="K31" s="48"/>
      <c r="L31" s="63"/>
      <c r="M31" s="51"/>
      <c r="N31" s="178">
        <v>1702</v>
      </c>
      <c r="O31" s="156"/>
      <c r="P31" s="178">
        <v>1702</v>
      </c>
      <c r="Q31" s="52"/>
      <c r="R31" s="52"/>
      <c r="S31" s="52"/>
      <c r="U31" s="62"/>
      <c r="V31" s="71"/>
    </row>
    <row r="32" spans="5:22" ht="15.75">
      <c r="E32" s="52"/>
      <c r="F32" s="52"/>
      <c r="G32" s="52"/>
      <c r="H32" s="44"/>
      <c r="I32" s="38"/>
      <c r="J32" s="47" t="s">
        <v>28</v>
      </c>
      <c r="K32" s="48"/>
      <c r="L32" s="63"/>
      <c r="M32" s="51"/>
      <c r="N32" s="178">
        <v>12934</v>
      </c>
      <c r="O32" s="156"/>
      <c r="P32" s="178">
        <v>14778</v>
      </c>
      <c r="Q32" s="52"/>
      <c r="R32" s="52"/>
      <c r="S32" s="52"/>
      <c r="U32" s="68"/>
      <c r="V32" s="71"/>
    </row>
    <row r="33" spans="2:24" ht="15.75">
      <c r="B33" s="153"/>
      <c r="C33" s="153"/>
      <c r="D33" s="45"/>
      <c r="E33" s="59"/>
      <c r="F33" s="156"/>
      <c r="G33" s="59"/>
      <c r="H33" s="44"/>
      <c r="I33" s="38"/>
      <c r="J33" s="47" t="s">
        <v>29</v>
      </c>
      <c r="K33" s="48"/>
      <c r="L33" s="63"/>
      <c r="M33" s="51"/>
      <c r="N33" s="182">
        <v>7607</v>
      </c>
      <c r="O33" s="156"/>
      <c r="P33" s="182">
        <f>28338</f>
        <v>28338</v>
      </c>
      <c r="Q33" s="52"/>
      <c r="R33" s="52"/>
      <c r="S33" s="52"/>
      <c r="U33" s="67"/>
      <c r="V33" s="71"/>
      <c r="X33" s="36" t="s">
        <v>30</v>
      </c>
    </row>
    <row r="34" spans="2:22" ht="15.75">
      <c r="B34" s="153"/>
      <c r="C34" s="153"/>
      <c r="D34" s="45"/>
      <c r="E34" s="59"/>
      <c r="F34" s="156"/>
      <c r="G34" s="59"/>
      <c r="H34" s="44"/>
      <c r="I34" s="38"/>
      <c r="J34" s="153" t="s">
        <v>31</v>
      </c>
      <c r="K34" s="153"/>
      <c r="L34" s="45"/>
      <c r="M34" s="44"/>
      <c r="N34" s="328">
        <f>SUM(N30:N33)</f>
        <v>88555</v>
      </c>
      <c r="O34" s="156"/>
      <c r="P34" s="179">
        <f>SUM(P30:P33)</f>
        <v>82907</v>
      </c>
      <c r="Q34" s="52"/>
      <c r="R34" s="52"/>
      <c r="S34" s="52"/>
      <c r="U34" s="241"/>
      <c r="V34" s="71"/>
    </row>
    <row r="35" spans="2:21" ht="12.75" customHeight="1">
      <c r="B35" s="153"/>
      <c r="C35" s="153"/>
      <c r="D35" s="45"/>
      <c r="E35" s="59"/>
      <c r="F35" s="156"/>
      <c r="G35" s="59"/>
      <c r="H35" s="44"/>
      <c r="I35" s="38"/>
      <c r="J35" s="153"/>
      <c r="K35" s="153"/>
      <c r="L35" s="45"/>
      <c r="M35" s="44"/>
      <c r="N35" s="180"/>
      <c r="O35" s="156"/>
      <c r="P35" s="180"/>
      <c r="Q35" s="52"/>
      <c r="R35" s="52"/>
      <c r="S35" s="52"/>
      <c r="U35" s="72"/>
    </row>
    <row r="36" spans="2:22" ht="12.75" customHeight="1" thickBot="1">
      <c r="B36" s="153" t="s">
        <v>32</v>
      </c>
      <c r="C36" s="153"/>
      <c r="D36" s="45"/>
      <c r="E36" s="183">
        <f>E34+E31+E22</f>
        <v>96396</v>
      </c>
      <c r="F36" s="156"/>
      <c r="G36" s="183">
        <f>G34+G31+G22</f>
        <v>88379</v>
      </c>
      <c r="H36" s="44"/>
      <c r="I36" s="38"/>
      <c r="J36" s="340" t="s">
        <v>33</v>
      </c>
      <c r="K36" s="340"/>
      <c r="L36" s="340"/>
      <c r="M36" s="44"/>
      <c r="N36" s="183">
        <f>N34+N27+N22</f>
        <v>96396</v>
      </c>
      <c r="O36" s="156"/>
      <c r="P36" s="183">
        <f>P34+P27+P22</f>
        <v>88379</v>
      </c>
      <c r="R36" s="60">
        <f>P36-G36</f>
        <v>0</v>
      </c>
      <c r="S36" s="72"/>
      <c r="U36" s="72"/>
      <c r="V36" s="60"/>
    </row>
    <row r="37" spans="5:21" ht="12.75" customHeight="1" thickTop="1">
      <c r="E37" s="72"/>
      <c r="I37" s="38"/>
      <c r="N37" s="72"/>
      <c r="Q37" s="52"/>
      <c r="R37" s="72">
        <f>N36-E36</f>
        <v>0</v>
      </c>
      <c r="S37" s="52"/>
      <c r="U37" s="72"/>
    </row>
    <row r="38" spans="5:21" ht="12.75" customHeight="1">
      <c r="E38" s="72"/>
      <c r="I38" s="38"/>
      <c r="N38" s="72"/>
      <c r="Q38" s="52"/>
      <c r="R38" s="52"/>
      <c r="S38" s="52"/>
      <c r="U38" s="72"/>
    </row>
    <row r="39" spans="2:20" s="46" customFormat="1" ht="15.75">
      <c r="B39" s="36"/>
      <c r="C39" s="36"/>
      <c r="E39" s="35"/>
      <c r="F39" s="35"/>
      <c r="G39" s="35"/>
      <c r="H39" s="35"/>
      <c r="I39" s="35"/>
      <c r="J39" s="35"/>
      <c r="N39" s="73"/>
      <c r="P39" s="35" t="s">
        <v>327</v>
      </c>
      <c r="T39" s="83"/>
    </row>
    <row r="40" spans="2:20" s="46" customFormat="1" ht="15.75">
      <c r="B40" s="36"/>
      <c r="C40" s="36"/>
      <c r="E40" s="35"/>
      <c r="F40" s="35"/>
      <c r="G40" s="35"/>
      <c r="H40" s="35"/>
      <c r="I40" s="35"/>
      <c r="J40" s="35"/>
      <c r="N40" s="73"/>
      <c r="P40" s="35"/>
      <c r="T40" s="83"/>
    </row>
    <row r="41" spans="2:20" s="46" customFormat="1" ht="15.75">
      <c r="B41" s="36"/>
      <c r="C41" s="36"/>
      <c r="E41" s="35"/>
      <c r="F41" s="35"/>
      <c r="G41" s="35"/>
      <c r="H41" s="35"/>
      <c r="I41" s="35"/>
      <c r="J41" s="35"/>
      <c r="N41" s="73"/>
      <c r="P41" s="35"/>
      <c r="T41" s="83"/>
    </row>
    <row r="42" ht="12.75" customHeight="1">
      <c r="B42" s="186" t="s">
        <v>308</v>
      </c>
    </row>
    <row r="43" ht="13.5" customHeight="1"/>
    <row r="45" spans="2:20" s="46" customFormat="1" ht="13.5" customHeight="1">
      <c r="B45" s="36"/>
      <c r="C45" s="36"/>
      <c r="E45" s="36"/>
      <c r="F45" s="36"/>
      <c r="G45" s="36"/>
      <c r="H45" s="36"/>
      <c r="I45" s="36"/>
      <c r="L45" s="74"/>
      <c r="N45" s="73"/>
      <c r="P45" s="75"/>
      <c r="T45" s="83"/>
    </row>
    <row r="46" spans="12:14" ht="13.5" customHeight="1">
      <c r="L46" s="76"/>
      <c r="N46" s="60"/>
    </row>
    <row r="47" spans="3:14" ht="13.5" customHeight="1">
      <c r="C47" s="77" t="s">
        <v>303</v>
      </c>
      <c r="K47" s="78" t="s">
        <v>309</v>
      </c>
      <c r="L47" s="76"/>
      <c r="N47" s="60"/>
    </row>
    <row r="48" spans="3:13" ht="13.5" customHeight="1">
      <c r="C48" s="77" t="s">
        <v>0</v>
      </c>
      <c r="D48" s="70"/>
      <c r="E48" s="70"/>
      <c r="I48" s="46"/>
      <c r="K48" s="77" t="s">
        <v>292</v>
      </c>
      <c r="L48" s="70"/>
      <c r="M48" s="79"/>
    </row>
    <row r="49" spans="3:13" ht="13.5" customHeight="1">
      <c r="C49" s="77" t="s">
        <v>293</v>
      </c>
      <c r="D49" s="80"/>
      <c r="E49" s="80"/>
      <c r="K49" s="77" t="s">
        <v>294</v>
      </c>
      <c r="L49" s="80"/>
      <c r="M49" s="80"/>
    </row>
    <row r="50" spans="3:13" ht="13.5" customHeight="1">
      <c r="C50" s="77" t="s">
        <v>295</v>
      </c>
      <c r="D50" s="80"/>
      <c r="E50" s="80"/>
      <c r="K50" s="77" t="s">
        <v>296</v>
      </c>
      <c r="L50" s="80"/>
      <c r="M50" s="80"/>
    </row>
    <row r="51" spans="3:13" ht="13.5" customHeight="1">
      <c r="C51" s="77" t="s">
        <v>297</v>
      </c>
      <c r="D51" s="80"/>
      <c r="E51" s="80"/>
      <c r="K51" s="77" t="s">
        <v>298</v>
      </c>
      <c r="L51" s="80"/>
      <c r="M51" s="80"/>
    </row>
    <row r="52" spans="3:12" ht="13.5" customHeight="1">
      <c r="C52" s="80"/>
      <c r="D52" s="80"/>
      <c r="E52" s="80"/>
      <c r="K52" s="80"/>
      <c r="L52" s="70"/>
    </row>
    <row r="53" spans="3:12" ht="13.5" customHeight="1">
      <c r="C53" s="80"/>
      <c r="D53" s="80"/>
      <c r="E53" s="80"/>
      <c r="K53" s="80"/>
      <c r="L53" s="70"/>
    </row>
    <row r="54" spans="5:12" ht="13.5" customHeight="1">
      <c r="E54" s="56"/>
      <c r="F54" s="56"/>
      <c r="G54" s="81"/>
      <c r="H54" s="82"/>
      <c r="I54" s="82"/>
      <c r="J54" s="82"/>
      <c r="K54" s="82"/>
      <c r="L54" s="83"/>
    </row>
    <row r="55" spans="7:16" ht="18" customHeight="1">
      <c r="G55" s="151" t="s">
        <v>322</v>
      </c>
      <c r="H55" s="82"/>
      <c r="I55" s="82"/>
      <c r="J55" s="82"/>
      <c r="K55" s="81"/>
      <c r="L55" s="83"/>
      <c r="P55" s="329">
        <v>1</v>
      </c>
    </row>
    <row r="56" ht="13.5" customHeight="1">
      <c r="G56" s="77" t="s">
        <v>299</v>
      </c>
    </row>
    <row r="57" ht="13.5" customHeight="1">
      <c r="G57" s="77" t="s">
        <v>300</v>
      </c>
    </row>
    <row r="58" ht="13.5" customHeight="1">
      <c r="G58" s="77" t="s">
        <v>301</v>
      </c>
    </row>
    <row r="59" ht="13.5" customHeight="1"/>
    <row r="60" ht="13.5" customHeight="1"/>
    <row r="61" ht="13.5" customHeight="1"/>
    <row r="63" ht="13.5" customHeight="1"/>
  </sheetData>
  <sheetProtection/>
  <mergeCells count="1">
    <mergeCell ref="J36:L36"/>
  </mergeCells>
  <printOptions horizontalCentered="1"/>
  <pageMargins left="0" right="0" top="0" bottom="0" header="0" footer="0"/>
  <pageSetup horizontalDpi="600" verticalDpi="600" orientation="landscape" paperSize="9" scale="67" r:id="rId1"/>
  <rowBreaks count="1" manualBreakCount="1">
    <brk id="63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81"/>
  <sheetViews>
    <sheetView showGridLines="0" zoomScale="90" zoomScaleNormal="90" zoomScaleSheetLayoutView="100" workbookViewId="0" topLeftCell="A1">
      <selection activeCell="I74" sqref="I74"/>
    </sheetView>
  </sheetViews>
  <sheetFormatPr defaultColWidth="9.140625" defaultRowHeight="15" outlineLevelRow="1"/>
  <cols>
    <col min="1" max="1" width="2.421875" style="85" customWidth="1"/>
    <col min="2" max="2" width="59.140625" style="85" customWidth="1"/>
    <col min="3" max="3" width="1.7109375" style="85" customWidth="1"/>
    <col min="4" max="4" width="12.7109375" style="84" customWidth="1"/>
    <col min="5" max="5" width="15.28125" style="85" bestFit="1" customWidth="1"/>
    <col min="6" max="6" width="0.71875" style="85" customWidth="1"/>
    <col min="7" max="7" width="13.8515625" style="85" customWidth="1"/>
    <col min="8" max="8" width="1.7109375" style="86" customWidth="1"/>
    <col min="9" max="9" width="6.57421875" style="85" customWidth="1"/>
    <col min="10" max="10" width="19.8515625" style="308" customWidth="1"/>
    <col min="11" max="11" width="19.8515625" style="310" customWidth="1"/>
    <col min="12" max="12" width="15.57421875" style="242" bestFit="1" customWidth="1"/>
    <col min="13" max="13" width="14.28125" style="242" bestFit="1" customWidth="1"/>
    <col min="14" max="16384" width="9.140625" style="85" customWidth="1"/>
  </cols>
  <sheetData>
    <row r="4" spans="2:3" ht="15.75">
      <c r="B4" s="37" t="s">
        <v>0</v>
      </c>
      <c r="C4" s="84"/>
    </row>
    <row r="5" spans="2:3" ht="15.75">
      <c r="B5" s="37"/>
      <c r="C5" s="84"/>
    </row>
    <row r="6" spans="2:3" ht="15.75">
      <c r="B6" s="37" t="s">
        <v>34</v>
      </c>
      <c r="C6" s="84"/>
    </row>
    <row r="7" spans="2:3" ht="15.75">
      <c r="B7" s="37" t="s">
        <v>324</v>
      </c>
      <c r="C7" s="84"/>
    </row>
    <row r="8" spans="2:3" ht="15.75">
      <c r="B8" s="37" t="s">
        <v>1</v>
      </c>
      <c r="C8" s="84"/>
    </row>
    <row r="9" spans="2:8" ht="15.75">
      <c r="B9" s="87"/>
      <c r="C9" s="87"/>
      <c r="D9" s="88"/>
      <c r="E9" s="89"/>
      <c r="G9" s="89"/>
      <c r="H9" s="90"/>
    </row>
    <row r="10" spans="2:8" ht="31.5">
      <c r="B10" s="87"/>
      <c r="C10" s="87"/>
      <c r="D10" s="91" t="s">
        <v>35</v>
      </c>
      <c r="E10" s="92">
        <v>2019</v>
      </c>
      <c r="F10" s="78"/>
      <c r="G10" s="92">
        <v>2018</v>
      </c>
      <c r="H10" s="93"/>
    </row>
    <row r="11" spans="2:8" ht="15.75">
      <c r="B11" s="88" t="s">
        <v>36</v>
      </c>
      <c r="C11" s="88"/>
      <c r="D11" s="94">
        <v>18</v>
      </c>
      <c r="E11" s="158"/>
      <c r="G11" s="158"/>
      <c r="H11" s="95"/>
    </row>
    <row r="12" spans="2:14" ht="15.75">
      <c r="B12" s="96" t="s">
        <v>74</v>
      </c>
      <c r="C12" s="96"/>
      <c r="D12" s="97"/>
      <c r="E12" s="98">
        <v>31541</v>
      </c>
      <c r="F12" s="100"/>
      <c r="G12" s="98">
        <v>30131</v>
      </c>
      <c r="H12" s="99"/>
      <c r="J12" s="308">
        <v>31540.502989999997</v>
      </c>
      <c r="K12" s="311">
        <f aca="true" t="shared" si="0" ref="K12:K23">-J12</f>
        <v>-31540.502989999997</v>
      </c>
      <c r="N12" s="100"/>
    </row>
    <row r="13" spans="2:14" ht="15.75">
      <c r="B13" s="96" t="s">
        <v>75</v>
      </c>
      <c r="C13" s="96"/>
      <c r="D13" s="94"/>
      <c r="E13" s="53">
        <v>830</v>
      </c>
      <c r="F13" s="100"/>
      <c r="G13" s="53">
        <v>2921</v>
      </c>
      <c r="H13" s="95"/>
      <c r="J13" s="308">
        <v>830.18056</v>
      </c>
      <c r="K13" s="311">
        <f t="shared" si="0"/>
        <v>-830.18056</v>
      </c>
      <c r="N13" s="100"/>
    </row>
    <row r="14" spans="2:14" ht="15.75">
      <c r="B14" s="96" t="s">
        <v>607</v>
      </c>
      <c r="C14" s="96"/>
      <c r="D14" s="94"/>
      <c r="E14" s="53">
        <v>7657</v>
      </c>
      <c r="F14" s="100"/>
      <c r="G14" s="53">
        <v>0</v>
      </c>
      <c r="H14" s="95"/>
      <c r="J14" s="308">
        <v>7657.3349100000005</v>
      </c>
      <c r="K14" s="311">
        <f t="shared" si="0"/>
        <v>-7657.3349100000005</v>
      </c>
      <c r="N14" s="100"/>
    </row>
    <row r="15" spans="2:14" ht="15.75">
      <c r="B15" s="96" t="s">
        <v>608</v>
      </c>
      <c r="C15" s="96"/>
      <c r="D15" s="94"/>
      <c r="E15" s="53">
        <v>124</v>
      </c>
      <c r="F15" s="100"/>
      <c r="G15" s="53">
        <v>0</v>
      </c>
      <c r="H15" s="95"/>
      <c r="J15" s="308">
        <v>123.65598</v>
      </c>
      <c r="K15" s="311">
        <f t="shared" si="0"/>
        <v>-123.65598</v>
      </c>
      <c r="N15" s="100"/>
    </row>
    <row r="16" spans="2:14" ht="15.75">
      <c r="B16" s="96" t="s">
        <v>609</v>
      </c>
      <c r="C16" s="96"/>
      <c r="D16" s="94"/>
      <c r="E16" s="53">
        <v>230</v>
      </c>
      <c r="F16" s="100"/>
      <c r="G16" s="53">
        <v>0</v>
      </c>
      <c r="H16" s="95"/>
      <c r="J16" s="308">
        <v>229.9</v>
      </c>
      <c r="K16" s="311">
        <f t="shared" si="0"/>
        <v>-229.9</v>
      </c>
      <c r="N16" s="100"/>
    </row>
    <row r="17" spans="2:14" ht="15.75">
      <c r="B17" s="96" t="s">
        <v>610</v>
      </c>
      <c r="C17" s="96"/>
      <c r="D17" s="94"/>
      <c r="E17" s="53">
        <v>1810</v>
      </c>
      <c r="F17" s="100"/>
      <c r="G17" s="53">
        <v>0</v>
      </c>
      <c r="H17" s="95"/>
      <c r="J17" s="308">
        <v>1810.41058</v>
      </c>
      <c r="K17" s="311">
        <f t="shared" si="0"/>
        <v>-1810.41058</v>
      </c>
      <c r="N17" s="100"/>
    </row>
    <row r="18" spans="2:14" ht="15.75">
      <c r="B18" s="96" t="s">
        <v>37</v>
      </c>
      <c r="C18" s="96"/>
      <c r="D18" s="94"/>
      <c r="E18" s="53">
        <v>0</v>
      </c>
      <c r="F18" s="100"/>
      <c r="G18" s="53">
        <v>858</v>
      </c>
      <c r="H18" s="95"/>
      <c r="K18" s="311">
        <f t="shared" si="0"/>
        <v>0</v>
      </c>
      <c r="N18" s="100"/>
    </row>
    <row r="19" spans="2:14" ht="15.75">
      <c r="B19" s="96" t="s">
        <v>76</v>
      </c>
      <c r="C19" s="96"/>
      <c r="D19" s="94"/>
      <c r="E19" s="53">
        <v>0</v>
      </c>
      <c r="F19" s="100"/>
      <c r="G19" s="53">
        <v>6142</v>
      </c>
      <c r="H19" s="95"/>
      <c r="K19" s="311">
        <f t="shared" si="0"/>
        <v>0</v>
      </c>
      <c r="N19" s="100"/>
    </row>
    <row r="20" spans="2:14" ht="15.75">
      <c r="B20" s="96" t="s">
        <v>77</v>
      </c>
      <c r="C20" s="96"/>
      <c r="D20" s="94"/>
      <c r="E20" s="53">
        <v>11</v>
      </c>
      <c r="F20" s="100"/>
      <c r="G20" s="53">
        <v>2</v>
      </c>
      <c r="H20" s="95"/>
      <c r="J20" s="308">
        <v>11.494</v>
      </c>
      <c r="K20" s="311">
        <f t="shared" si="0"/>
        <v>-11.494</v>
      </c>
      <c r="N20" s="100"/>
    </row>
    <row r="21" spans="2:14" ht="15.75">
      <c r="B21" s="96" t="s">
        <v>78</v>
      </c>
      <c r="C21" s="96"/>
      <c r="D21" s="94"/>
      <c r="E21" s="53">
        <v>0</v>
      </c>
      <c r="F21" s="100"/>
      <c r="G21" s="53">
        <v>1</v>
      </c>
      <c r="H21" s="95"/>
      <c r="K21" s="311">
        <f t="shared" si="0"/>
        <v>0</v>
      </c>
      <c r="N21" s="100"/>
    </row>
    <row r="22" spans="2:14" ht="15.75">
      <c r="B22" s="96" t="s">
        <v>79</v>
      </c>
      <c r="C22" s="96"/>
      <c r="D22" s="94"/>
      <c r="E22" s="53">
        <v>115</v>
      </c>
      <c r="F22" s="100"/>
      <c r="G22" s="53">
        <v>281</v>
      </c>
      <c r="H22" s="95"/>
      <c r="J22" s="308">
        <v>115.31528</v>
      </c>
      <c r="K22" s="311">
        <f t="shared" si="0"/>
        <v>-115.31528</v>
      </c>
      <c r="N22" s="100"/>
    </row>
    <row r="23" spans="2:14" ht="15.75">
      <c r="B23" s="96" t="s">
        <v>80</v>
      </c>
      <c r="C23" s="96"/>
      <c r="D23" s="94"/>
      <c r="E23" s="53">
        <v>4608</v>
      </c>
      <c r="F23" s="100"/>
      <c r="G23" s="53">
        <v>2238</v>
      </c>
      <c r="H23" s="95"/>
      <c r="J23" s="308">
        <v>4607.77157</v>
      </c>
      <c r="K23" s="311">
        <f t="shared" si="0"/>
        <v>-4607.77157</v>
      </c>
      <c r="N23" s="100"/>
    </row>
    <row r="24" spans="2:14" ht="15.75">
      <c r="B24" s="96" t="s">
        <v>81</v>
      </c>
      <c r="C24" s="96"/>
      <c r="D24" s="94"/>
      <c r="E24" s="101"/>
      <c r="F24" s="100"/>
      <c r="G24" s="101">
        <v>0</v>
      </c>
      <c r="H24" s="95"/>
      <c r="N24" s="100"/>
    </row>
    <row r="25" spans="2:8" ht="6.75" customHeight="1">
      <c r="B25" s="89"/>
      <c r="C25" s="89"/>
      <c r="D25" s="94"/>
      <c r="E25" s="105"/>
      <c r="F25" s="100"/>
      <c r="G25" s="105"/>
      <c r="H25" s="95"/>
    </row>
    <row r="26" spans="2:14" ht="15.75" customHeight="1">
      <c r="B26" s="88" t="s">
        <v>38</v>
      </c>
      <c r="C26" s="88"/>
      <c r="D26" s="94"/>
      <c r="E26" s="103">
        <f>SUM(E12:E24)</f>
        <v>46926</v>
      </c>
      <c r="F26" s="100"/>
      <c r="G26" s="103">
        <f>SUM(G12:G24)</f>
        <v>42574</v>
      </c>
      <c r="H26" s="95"/>
      <c r="I26" s="100"/>
      <c r="N26" s="100"/>
    </row>
    <row r="27" spans="2:14" ht="15.75">
      <c r="B27" s="88"/>
      <c r="C27" s="88"/>
      <c r="D27" s="94"/>
      <c r="E27" s="53"/>
      <c r="F27" s="100"/>
      <c r="G27" s="53"/>
      <c r="H27" s="95"/>
      <c r="N27" s="100"/>
    </row>
    <row r="28" spans="2:14" ht="15.75">
      <c r="B28" s="88" t="s">
        <v>39</v>
      </c>
      <c r="C28" s="88"/>
      <c r="D28" s="94">
        <v>19</v>
      </c>
      <c r="E28" s="53"/>
      <c r="F28" s="100"/>
      <c r="G28" s="53"/>
      <c r="H28" s="95"/>
      <c r="N28" s="100"/>
    </row>
    <row r="29" spans="2:14" ht="15.75">
      <c r="B29" s="96" t="s">
        <v>82</v>
      </c>
      <c r="C29" s="96"/>
      <c r="D29" s="97"/>
      <c r="E29" s="53">
        <v>-27205</v>
      </c>
      <c r="F29" s="100"/>
      <c r="G29" s="53">
        <v>-27202</v>
      </c>
      <c r="H29" s="99"/>
      <c r="J29" s="309">
        <v>-27204.697070000002</v>
      </c>
      <c r="K29" s="311">
        <f>-J29</f>
        <v>27204.697070000002</v>
      </c>
      <c r="N29" s="100"/>
    </row>
    <row r="30" spans="2:14" ht="15.75">
      <c r="B30" s="96" t="s">
        <v>83</v>
      </c>
      <c r="C30" s="96"/>
      <c r="D30" s="94"/>
      <c r="E30" s="53">
        <v>-295</v>
      </c>
      <c r="F30" s="100"/>
      <c r="G30" s="53">
        <v>-589</v>
      </c>
      <c r="H30" s="95"/>
      <c r="J30" s="309">
        <v>-294.69552000000004</v>
      </c>
      <c r="K30" s="311">
        <f aca="true" t="shared" si="1" ref="K30:K54">-J30</f>
        <v>294.69552000000004</v>
      </c>
      <c r="N30" s="100"/>
    </row>
    <row r="31" spans="2:14" ht="15.75">
      <c r="B31" s="96" t="s">
        <v>84</v>
      </c>
      <c r="C31" s="96"/>
      <c r="D31" s="94"/>
      <c r="E31" s="53">
        <v>-172</v>
      </c>
      <c r="F31" s="100"/>
      <c r="G31" s="53">
        <v>-130</v>
      </c>
      <c r="H31" s="95"/>
      <c r="J31" s="309">
        <v>-171.90511999999998</v>
      </c>
      <c r="K31" s="311">
        <f t="shared" si="1"/>
        <v>171.90511999999998</v>
      </c>
      <c r="N31" s="100"/>
    </row>
    <row r="32" spans="2:14" ht="15.75">
      <c r="B32" s="96" t="s">
        <v>85</v>
      </c>
      <c r="C32" s="96"/>
      <c r="D32" s="94"/>
      <c r="E32" s="53">
        <v>-160</v>
      </c>
      <c r="F32" s="100"/>
      <c r="G32" s="53">
        <v>-84</v>
      </c>
      <c r="H32" s="95"/>
      <c r="J32" s="309">
        <v>-160.22427</v>
      </c>
      <c r="K32" s="311">
        <f t="shared" si="1"/>
        <v>160.22427</v>
      </c>
      <c r="N32" s="100"/>
    </row>
    <row r="33" spans="2:14" ht="15.75">
      <c r="B33" s="96" t="s">
        <v>86</v>
      </c>
      <c r="C33" s="96"/>
      <c r="D33" s="94"/>
      <c r="E33" s="53">
        <v>-1497</v>
      </c>
      <c r="F33" s="100"/>
      <c r="G33" s="53">
        <v>-8116</v>
      </c>
      <c r="H33" s="95"/>
      <c r="J33" s="309">
        <v>-1496.9121499999999</v>
      </c>
      <c r="K33" s="311">
        <f t="shared" si="1"/>
        <v>1496.9121499999999</v>
      </c>
      <c r="N33" s="100"/>
    </row>
    <row r="34" spans="2:14" ht="15.75">
      <c r="B34" s="96" t="s">
        <v>611</v>
      </c>
      <c r="C34" s="96"/>
      <c r="D34" s="94"/>
      <c r="E34" s="53">
        <v>-4229</v>
      </c>
      <c r="F34" s="100"/>
      <c r="G34" s="53">
        <v>-969</v>
      </c>
      <c r="H34" s="95"/>
      <c r="J34" s="309">
        <v>-4229.10208</v>
      </c>
      <c r="K34" s="311">
        <f t="shared" si="1"/>
        <v>4229.10208</v>
      </c>
      <c r="N34" s="100"/>
    </row>
    <row r="35" spans="2:14" ht="15.75">
      <c r="B35" s="96" t="s">
        <v>288</v>
      </c>
      <c r="C35" s="96"/>
      <c r="D35" s="94"/>
      <c r="E35" s="53">
        <v>-28</v>
      </c>
      <c r="F35" s="100"/>
      <c r="G35" s="53">
        <v>-103</v>
      </c>
      <c r="H35" s="95"/>
      <c r="J35" s="309">
        <v>-27.84</v>
      </c>
      <c r="K35" s="311">
        <f t="shared" si="1"/>
        <v>27.84</v>
      </c>
      <c r="N35" s="100"/>
    </row>
    <row r="36" spans="2:14" ht="16.5" customHeight="1">
      <c r="B36" s="96" t="s">
        <v>87</v>
      </c>
      <c r="C36" s="96"/>
      <c r="D36" s="94"/>
      <c r="E36" s="53">
        <v>-54</v>
      </c>
      <c r="F36" s="100"/>
      <c r="G36" s="53">
        <f>-264</f>
        <v>-264</v>
      </c>
      <c r="H36" s="95"/>
      <c r="J36" s="309">
        <v>-53.908199999999994</v>
      </c>
      <c r="K36" s="311">
        <f t="shared" si="1"/>
        <v>53.908199999999994</v>
      </c>
      <c r="N36" s="100"/>
    </row>
    <row r="37" spans="2:14" ht="15.75">
      <c r="B37" s="96" t="s">
        <v>88</v>
      </c>
      <c r="C37" s="96"/>
      <c r="D37" s="94"/>
      <c r="E37" s="53">
        <v>-7</v>
      </c>
      <c r="F37" s="100"/>
      <c r="G37" s="53">
        <v>0</v>
      </c>
      <c r="H37" s="95"/>
      <c r="J37" s="309">
        <v>-6.57344</v>
      </c>
      <c r="K37" s="311">
        <f t="shared" si="1"/>
        <v>6.57344</v>
      </c>
      <c r="N37" s="100"/>
    </row>
    <row r="38" spans="2:14" ht="15.75">
      <c r="B38" s="96" t="s">
        <v>612</v>
      </c>
      <c r="C38" s="96"/>
      <c r="D38" s="94"/>
      <c r="E38" s="53">
        <v>-253</v>
      </c>
      <c r="F38" s="100"/>
      <c r="G38" s="53">
        <v>0</v>
      </c>
      <c r="H38" s="95"/>
      <c r="J38" s="309">
        <v>-253.19689000000002</v>
      </c>
      <c r="K38" s="311">
        <f t="shared" si="1"/>
        <v>253.19689000000002</v>
      </c>
      <c r="N38" s="100"/>
    </row>
    <row r="39" spans="2:14" ht="15.75">
      <c r="B39" s="96" t="s">
        <v>613</v>
      </c>
      <c r="C39" s="96"/>
      <c r="D39" s="94"/>
      <c r="E39" s="53">
        <v>-1857</v>
      </c>
      <c r="F39" s="100"/>
      <c r="G39" s="53">
        <v>0</v>
      </c>
      <c r="H39" s="95"/>
      <c r="J39" s="309">
        <v>-1857.53206</v>
      </c>
      <c r="K39" s="311">
        <f t="shared" si="1"/>
        <v>1857.53206</v>
      </c>
      <c r="N39" s="100"/>
    </row>
    <row r="40" spans="2:14" ht="15.75">
      <c r="B40" s="96" t="s">
        <v>614</v>
      </c>
      <c r="C40" s="96"/>
      <c r="D40" s="94"/>
      <c r="E40" s="53">
        <v>-217</v>
      </c>
      <c r="F40" s="100"/>
      <c r="G40" s="53">
        <v>0</v>
      </c>
      <c r="H40" s="95"/>
      <c r="J40" s="309">
        <v>-216.91996</v>
      </c>
      <c r="K40" s="311">
        <f t="shared" si="1"/>
        <v>216.91996</v>
      </c>
      <c r="N40" s="100"/>
    </row>
    <row r="41" spans="2:14" ht="15.75">
      <c r="B41" s="96" t="s">
        <v>615</v>
      </c>
      <c r="C41" s="96"/>
      <c r="D41" s="94"/>
      <c r="E41" s="53">
        <v>-222</v>
      </c>
      <c r="F41" s="100"/>
      <c r="G41" s="53">
        <v>0</v>
      </c>
      <c r="H41" s="95"/>
      <c r="J41" s="309">
        <v>-222.56391</v>
      </c>
      <c r="K41" s="311">
        <f t="shared" si="1"/>
        <v>222.56391</v>
      </c>
      <c r="N41" s="100"/>
    </row>
    <row r="42" spans="2:14" ht="15.75">
      <c r="B42" s="96" t="s">
        <v>616</v>
      </c>
      <c r="C42" s="96"/>
      <c r="D42" s="94"/>
      <c r="E42" s="53">
        <v>-2556</v>
      </c>
      <c r="F42" s="100"/>
      <c r="G42" s="53">
        <v>0</v>
      </c>
      <c r="H42" s="95"/>
      <c r="J42" s="309">
        <v>-2556.24829</v>
      </c>
      <c r="K42" s="311">
        <f t="shared" si="1"/>
        <v>2556.24829</v>
      </c>
      <c r="N42" s="100"/>
    </row>
    <row r="43" spans="2:14" ht="15.75">
      <c r="B43" s="96" t="s">
        <v>291</v>
      </c>
      <c r="C43" s="96"/>
      <c r="D43" s="94"/>
      <c r="E43" s="101">
        <v>-2916</v>
      </c>
      <c r="F43" s="100"/>
      <c r="G43" s="101">
        <v>-2828</v>
      </c>
      <c r="H43" s="95"/>
      <c r="J43" s="309">
        <v>-2916.31471</v>
      </c>
      <c r="K43" s="311">
        <f t="shared" si="1"/>
        <v>2916.31471</v>
      </c>
      <c r="L43" s="242">
        <f>E43*1000</f>
        <v>-2916000</v>
      </c>
      <c r="N43" s="100"/>
    </row>
    <row r="44" spans="2:11" ht="8.25" customHeight="1">
      <c r="B44" s="89"/>
      <c r="C44" s="89"/>
      <c r="D44" s="97"/>
      <c r="E44" s="105"/>
      <c r="F44" s="100"/>
      <c r="G44" s="105"/>
      <c r="H44" s="99"/>
      <c r="K44" s="311">
        <f t="shared" si="1"/>
        <v>0</v>
      </c>
    </row>
    <row r="45" spans="2:11" ht="19.5" customHeight="1">
      <c r="B45" s="88" t="s">
        <v>40</v>
      </c>
      <c r="C45" s="88"/>
      <c r="D45" s="94"/>
      <c r="E45" s="103">
        <f>SUM(E29:E43)</f>
        <v>-41668</v>
      </c>
      <c r="F45" s="100"/>
      <c r="G45" s="103">
        <f>SUM(G29:G43)</f>
        <v>-40285</v>
      </c>
      <c r="H45" s="95"/>
      <c r="K45" s="311">
        <f t="shared" si="1"/>
        <v>0</v>
      </c>
    </row>
    <row r="46" spans="2:11" ht="15.75">
      <c r="B46" s="88"/>
      <c r="C46" s="88"/>
      <c r="D46" s="94"/>
      <c r="E46" s="53"/>
      <c r="F46" s="100"/>
      <c r="G46" s="53"/>
      <c r="H46" s="95"/>
      <c r="K46" s="311">
        <f t="shared" si="1"/>
        <v>0</v>
      </c>
    </row>
    <row r="47" spans="2:14" ht="15.75">
      <c r="B47" s="88" t="s">
        <v>41</v>
      </c>
      <c r="C47" s="88"/>
      <c r="D47" s="94"/>
      <c r="E47" s="104">
        <f>E26+E45</f>
        <v>5258</v>
      </c>
      <c r="F47" s="100"/>
      <c r="G47" s="104">
        <f>G26+G45</f>
        <v>2289</v>
      </c>
      <c r="H47" s="95"/>
      <c r="K47" s="311">
        <f t="shared" si="1"/>
        <v>0</v>
      </c>
      <c r="N47" s="100"/>
    </row>
    <row r="48" spans="2:11" ht="15.75">
      <c r="B48" s="88"/>
      <c r="C48" s="88"/>
      <c r="D48" s="94"/>
      <c r="E48" s="53"/>
      <c r="F48" s="100"/>
      <c r="G48" s="53"/>
      <c r="H48" s="95"/>
      <c r="K48" s="311">
        <f t="shared" si="1"/>
        <v>0</v>
      </c>
    </row>
    <row r="49" spans="3:14" ht="15.75">
      <c r="C49" s="88"/>
      <c r="D49" s="94"/>
      <c r="E49" s="101"/>
      <c r="F49" s="184"/>
      <c r="G49" s="101"/>
      <c r="H49" s="95"/>
      <c r="K49" s="311">
        <f t="shared" si="1"/>
        <v>0</v>
      </c>
      <c r="N49" s="100"/>
    </row>
    <row r="50" spans="2:11" ht="15.75" outlineLevel="1">
      <c r="B50" s="96" t="s">
        <v>42</v>
      </c>
      <c r="C50" s="96"/>
      <c r="D50" s="94"/>
      <c r="E50" s="143">
        <v>762</v>
      </c>
      <c r="F50" s="100"/>
      <c r="G50" s="143">
        <v>1115</v>
      </c>
      <c r="H50" s="99"/>
      <c r="J50" s="308">
        <v>762.35709</v>
      </c>
      <c r="K50" s="311">
        <f t="shared" si="1"/>
        <v>-762.35709</v>
      </c>
    </row>
    <row r="51" spans="2:11" ht="15.75" outlineLevel="1">
      <c r="B51" s="96" t="s">
        <v>43</v>
      </c>
      <c r="C51" s="96"/>
      <c r="D51" s="94"/>
      <c r="E51" s="105">
        <v>-353</v>
      </c>
      <c r="F51" s="100"/>
      <c r="G51" s="105">
        <v>-364</v>
      </c>
      <c r="H51" s="99"/>
      <c r="J51" s="308">
        <v>-353.29419</v>
      </c>
      <c r="K51" s="311">
        <f t="shared" si="1"/>
        <v>353.29419</v>
      </c>
    </row>
    <row r="52" spans="2:11" ht="15.75">
      <c r="B52" s="88" t="s">
        <v>62</v>
      </c>
      <c r="C52" s="87"/>
      <c r="D52" s="94">
        <v>20</v>
      </c>
      <c r="E52" s="104">
        <f>E50+E51</f>
        <v>409</v>
      </c>
      <c r="F52" s="106"/>
      <c r="G52" s="104">
        <f>G50+G51</f>
        <v>751</v>
      </c>
      <c r="H52" s="95"/>
      <c r="K52" s="311">
        <f t="shared" si="1"/>
        <v>0</v>
      </c>
    </row>
    <row r="53" spans="2:15" ht="20.25" customHeight="1">
      <c r="B53" s="87"/>
      <c r="C53" s="87"/>
      <c r="D53" s="94"/>
      <c r="E53" s="53"/>
      <c r="F53" s="100"/>
      <c r="G53" s="53"/>
      <c r="H53" s="95"/>
      <c r="K53" s="311">
        <f t="shared" si="1"/>
        <v>0</v>
      </c>
      <c r="M53" s="242">
        <f>E54*1000</f>
        <v>5667000</v>
      </c>
      <c r="O53" s="107"/>
    </row>
    <row r="54" spans="2:15" ht="16.5" thickBot="1">
      <c r="B54" s="88" t="s">
        <v>44</v>
      </c>
      <c r="C54" s="88"/>
      <c r="D54" s="94"/>
      <c r="E54" s="108">
        <f>E47+E52</f>
        <v>5667</v>
      </c>
      <c r="F54" s="100"/>
      <c r="G54" s="108">
        <f>G47+G52</f>
        <v>3040</v>
      </c>
      <c r="H54" s="95"/>
      <c r="I54" s="100"/>
      <c r="K54" s="311">
        <f t="shared" si="1"/>
        <v>0</v>
      </c>
      <c r="L54" s="242">
        <f>E26+E50</f>
        <v>47688</v>
      </c>
      <c r="M54" s="242">
        <f>'Balancete 2019'!G220</f>
        <v>-5666995.1</v>
      </c>
      <c r="N54" s="100">
        <f>M54/1000</f>
        <v>-5666.995099999999</v>
      </c>
      <c r="O54" s="107"/>
    </row>
    <row r="55" spans="12:15" ht="16.5" thickTop="1">
      <c r="L55" s="242">
        <f>L54*1000</f>
        <v>47688000</v>
      </c>
      <c r="M55" s="242">
        <f>M53+M54</f>
        <v>4.900000000372529</v>
      </c>
      <c r="O55" s="107"/>
    </row>
    <row r="56" spans="12:15" ht="15.75">
      <c r="L56" s="242">
        <f>L55-47688922.96</f>
        <v>-922.9600000008941</v>
      </c>
      <c r="O56" s="107"/>
    </row>
    <row r="57" spans="2:7" ht="15.75">
      <c r="B57" s="341" t="s">
        <v>325</v>
      </c>
      <c r="C57" s="341"/>
      <c r="D57" s="341"/>
      <c r="E57" s="341"/>
      <c r="F57" s="341"/>
      <c r="G57" s="341"/>
    </row>
    <row r="58" spans="2:13" ht="15.75">
      <c r="B58" s="164"/>
      <c r="C58" s="164"/>
      <c r="D58" s="164"/>
      <c r="E58" s="164"/>
      <c r="F58" s="164"/>
      <c r="G58" s="164"/>
      <c r="L58" s="107">
        <f>5667</f>
        <v>5667</v>
      </c>
      <c r="M58" s="242">
        <f>M55/2</f>
        <v>2.4500000001862645</v>
      </c>
    </row>
    <row r="59" spans="12:15" ht="15.75">
      <c r="L59" s="107">
        <v>96</v>
      </c>
      <c r="O59" s="107"/>
    </row>
    <row r="60" spans="2:12" ht="15.75">
      <c r="B60" s="160" t="s">
        <v>308</v>
      </c>
      <c r="E60" s="107"/>
      <c r="F60" s="107"/>
      <c r="G60" s="107"/>
      <c r="L60" s="107">
        <v>1844</v>
      </c>
    </row>
    <row r="61" ht="15.75">
      <c r="L61" s="242">
        <f>SUM(L58:L60)</f>
        <v>7607</v>
      </c>
    </row>
    <row r="62" spans="5:7" ht="15.75">
      <c r="E62" s="102"/>
      <c r="F62" s="102"/>
      <c r="G62" s="102"/>
    </row>
    <row r="63" spans="5:12" ht="15.75">
      <c r="E63" s="100"/>
      <c r="G63" s="100"/>
      <c r="L63" s="242">
        <f>L61-'Balanço Patrimonial'!N33</f>
        <v>0</v>
      </c>
    </row>
    <row r="64" spans="2:5" ht="15.75">
      <c r="B64" s="167" t="s">
        <v>315</v>
      </c>
      <c r="E64" s="167" t="s">
        <v>315</v>
      </c>
    </row>
    <row r="65" spans="2:13" s="109" customFormat="1" ht="15.75">
      <c r="B65" s="77" t="s">
        <v>0</v>
      </c>
      <c r="D65" s="110"/>
      <c r="E65" s="77" t="s">
        <v>292</v>
      </c>
      <c r="F65" s="77"/>
      <c r="G65" s="77"/>
      <c r="H65" s="77"/>
      <c r="I65" s="77"/>
      <c r="J65" s="268"/>
      <c r="K65" s="312"/>
      <c r="L65" s="243"/>
      <c r="M65" s="243"/>
    </row>
    <row r="66" spans="2:13" s="109" customFormat="1" ht="15.75">
      <c r="B66" s="77" t="s">
        <v>293</v>
      </c>
      <c r="D66" s="110"/>
      <c r="E66" s="77" t="s">
        <v>294</v>
      </c>
      <c r="F66" s="77"/>
      <c r="G66" s="77"/>
      <c r="H66" s="77"/>
      <c r="I66" s="77"/>
      <c r="J66" s="268"/>
      <c r="K66" s="312"/>
      <c r="L66" s="243"/>
      <c r="M66" s="243"/>
    </row>
    <row r="67" spans="2:13" s="109" customFormat="1" ht="15.75">
      <c r="B67" s="77" t="s">
        <v>295</v>
      </c>
      <c r="D67" s="110"/>
      <c r="E67" s="77" t="s">
        <v>296</v>
      </c>
      <c r="F67" s="77"/>
      <c r="G67" s="77"/>
      <c r="H67" s="77"/>
      <c r="I67" s="77"/>
      <c r="J67" s="268"/>
      <c r="K67" s="312"/>
      <c r="L67" s="243"/>
      <c r="M67" s="243"/>
    </row>
    <row r="68" spans="2:13" s="109" customFormat="1" ht="15.75">
      <c r="B68" s="77" t="s">
        <v>297</v>
      </c>
      <c r="D68" s="110"/>
      <c r="E68" s="77" t="s">
        <v>298</v>
      </c>
      <c r="F68" s="77"/>
      <c r="G68" s="77"/>
      <c r="H68" s="77"/>
      <c r="I68" s="77"/>
      <c r="J68" s="268"/>
      <c r="K68" s="312"/>
      <c r="L68" s="243"/>
      <c r="M68" s="243"/>
    </row>
    <row r="69" spans="4:13" s="109" customFormat="1" ht="15.75">
      <c r="D69" s="110"/>
      <c r="H69" s="111"/>
      <c r="J69" s="269"/>
      <c r="K69" s="270"/>
      <c r="L69" s="243"/>
      <c r="M69" s="243"/>
    </row>
    <row r="70" spans="4:13" s="109" customFormat="1" ht="15.75">
      <c r="D70" s="110"/>
      <c r="H70" s="111"/>
      <c r="J70" s="269"/>
      <c r="K70" s="270"/>
      <c r="L70" s="243"/>
      <c r="M70" s="243"/>
    </row>
    <row r="71" spans="4:13" s="109" customFormat="1" ht="15.75">
      <c r="D71" s="110"/>
      <c r="H71" s="111"/>
      <c r="J71" s="269"/>
      <c r="K71" s="270"/>
      <c r="L71" s="243"/>
      <c r="M71" s="243"/>
    </row>
    <row r="72" spans="3:13" s="109" customFormat="1" ht="15" customHeight="1">
      <c r="C72" s="77" t="s">
        <v>302</v>
      </c>
      <c r="D72" s="77"/>
      <c r="E72" s="77"/>
      <c r="F72" s="77"/>
      <c r="G72" s="77"/>
      <c r="H72" s="111"/>
      <c r="J72" s="269"/>
      <c r="K72" s="270"/>
      <c r="L72" s="243"/>
      <c r="M72" s="243"/>
    </row>
    <row r="73" spans="3:13" s="109" customFormat="1" ht="15" customHeight="1">
      <c r="C73" s="77" t="s">
        <v>299</v>
      </c>
      <c r="D73" s="77"/>
      <c r="E73" s="77"/>
      <c r="F73" s="77"/>
      <c r="G73" s="77"/>
      <c r="H73" s="77"/>
      <c r="J73" s="269"/>
      <c r="K73" s="270"/>
      <c r="L73" s="243"/>
      <c r="M73" s="243"/>
    </row>
    <row r="74" spans="3:13" s="109" customFormat="1" ht="15" customHeight="1">
      <c r="C74" s="77" t="s">
        <v>300</v>
      </c>
      <c r="D74" s="77"/>
      <c r="E74" s="77"/>
      <c r="F74" s="77"/>
      <c r="G74" s="77"/>
      <c r="H74" s="77"/>
      <c r="I74" s="330">
        <v>2</v>
      </c>
      <c r="J74" s="269"/>
      <c r="K74" s="270"/>
      <c r="L74" s="243"/>
      <c r="M74" s="243"/>
    </row>
    <row r="75" spans="3:13" s="109" customFormat="1" ht="15" customHeight="1">
      <c r="C75" s="77" t="s">
        <v>301</v>
      </c>
      <c r="D75" s="77"/>
      <c r="E75" s="77"/>
      <c r="F75" s="77"/>
      <c r="G75" s="77"/>
      <c r="H75" s="77"/>
      <c r="J75" s="269"/>
      <c r="K75" s="270"/>
      <c r="L75" s="243"/>
      <c r="M75" s="243"/>
    </row>
    <row r="76" spans="4:13" s="109" customFormat="1" ht="15.75">
      <c r="D76" s="110"/>
      <c r="H76" s="111"/>
      <c r="J76" s="269"/>
      <c r="K76" s="270"/>
      <c r="L76" s="243"/>
      <c r="M76" s="243"/>
    </row>
    <row r="77" spans="4:13" s="109" customFormat="1" ht="15.75">
      <c r="D77" s="110"/>
      <c r="H77" s="111"/>
      <c r="J77" s="269"/>
      <c r="K77" s="270"/>
      <c r="L77" s="243"/>
      <c r="M77" s="243"/>
    </row>
    <row r="78" spans="4:13" s="109" customFormat="1" ht="15.75">
      <c r="D78" s="110"/>
      <c r="H78" s="111"/>
      <c r="J78" s="269"/>
      <c r="K78" s="270"/>
      <c r="L78" s="243"/>
      <c r="M78" s="243"/>
    </row>
    <row r="79" spans="4:13" s="109" customFormat="1" ht="15.75">
      <c r="D79" s="110"/>
      <c r="H79" s="111"/>
      <c r="J79" s="269"/>
      <c r="K79" s="270"/>
      <c r="L79" s="243"/>
      <c r="M79" s="243"/>
    </row>
    <row r="80" spans="4:13" s="109" customFormat="1" ht="15.75">
      <c r="D80" s="110"/>
      <c r="H80" s="111"/>
      <c r="J80" s="269"/>
      <c r="K80" s="270"/>
      <c r="L80" s="243"/>
      <c r="M80" s="243"/>
    </row>
    <row r="81" spans="4:13" s="109" customFormat="1" ht="15.75">
      <c r="D81" s="110"/>
      <c r="H81" s="111"/>
      <c r="J81" s="269"/>
      <c r="K81" s="270"/>
      <c r="L81" s="243"/>
      <c r="M81" s="243"/>
    </row>
  </sheetData>
  <sheetProtection/>
  <mergeCells count="1">
    <mergeCell ref="B57:G57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6"/>
  <sheetViews>
    <sheetView showGridLines="0" zoomScale="85" zoomScaleNormal="85" zoomScaleSheetLayoutView="100" zoomScalePageLayoutView="0" workbookViewId="0" topLeftCell="A31">
      <selection activeCell="H44" sqref="H44"/>
    </sheetView>
  </sheetViews>
  <sheetFormatPr defaultColWidth="9.140625" defaultRowHeight="15"/>
  <cols>
    <col min="1" max="1" width="5.57421875" style="211" customWidth="1"/>
    <col min="2" max="2" width="42.421875" style="112" customWidth="1"/>
    <col min="3" max="3" width="5.140625" style="112" customWidth="1"/>
    <col min="4" max="4" width="15.140625" style="112" customWidth="1"/>
    <col min="5" max="5" width="17.57421875" style="112" customWidth="1"/>
    <col min="6" max="6" width="13.7109375" style="112" customWidth="1"/>
    <col min="7" max="7" width="2.8515625" style="112" customWidth="1"/>
    <col min="8" max="8" width="23.8515625" style="112" customWidth="1"/>
    <col min="9" max="9" width="2.8515625" style="112" customWidth="1"/>
    <col min="10" max="10" width="22.57421875" style="112" customWidth="1"/>
    <col min="11" max="11" width="2.8515625" style="112" customWidth="1"/>
    <col min="12" max="12" width="22.7109375" style="36" customWidth="1"/>
    <col min="13" max="13" width="2.8515625" style="112" customWidth="1"/>
    <col min="14" max="14" width="14.28125" style="112" customWidth="1"/>
    <col min="15" max="15" width="11.7109375" style="112" customWidth="1"/>
    <col min="16" max="16" width="15.8515625" style="244" bestFit="1" customWidth="1"/>
    <col min="17" max="17" width="10.57421875" style="112" bestFit="1" customWidth="1"/>
    <col min="18" max="18" width="15.8515625" style="112" bestFit="1" customWidth="1"/>
    <col min="19" max="19" width="12.8515625" style="112" bestFit="1" customWidth="1"/>
    <col min="20" max="16384" width="9.140625" style="112" customWidth="1"/>
  </cols>
  <sheetData>
    <row r="1" spans="2:14" ht="15.75">
      <c r="B1" s="113"/>
      <c r="D1" s="114"/>
      <c r="E1" s="114"/>
      <c r="F1" s="114"/>
      <c r="H1" s="114"/>
      <c r="J1" s="114"/>
      <c r="L1" s="38"/>
      <c r="N1" s="114"/>
    </row>
    <row r="2" spans="2:14" ht="15.75">
      <c r="B2" s="113"/>
      <c r="D2" s="114"/>
      <c r="E2" s="114"/>
      <c r="F2" s="114"/>
      <c r="H2" s="114"/>
      <c r="J2" s="114"/>
      <c r="L2" s="38"/>
      <c r="N2" s="114"/>
    </row>
    <row r="3" spans="2:14" ht="15.75">
      <c r="B3" s="113"/>
      <c r="D3" s="114"/>
      <c r="E3" s="114"/>
      <c r="F3" s="114"/>
      <c r="H3" s="114"/>
      <c r="J3" s="114"/>
      <c r="L3" s="38"/>
      <c r="N3" s="114"/>
    </row>
    <row r="4" spans="2:14" ht="15.75">
      <c r="B4" s="113"/>
      <c r="D4" s="114"/>
      <c r="E4" s="114"/>
      <c r="F4" s="114"/>
      <c r="H4" s="114"/>
      <c r="J4" s="114"/>
      <c r="L4" s="38"/>
      <c r="N4" s="114"/>
    </row>
    <row r="5" spans="2:14" ht="15.75">
      <c r="B5" s="113"/>
      <c r="D5" s="114"/>
      <c r="E5" s="114"/>
      <c r="F5" s="114"/>
      <c r="H5" s="114"/>
      <c r="J5" s="114"/>
      <c r="L5" s="38"/>
      <c r="N5" s="114"/>
    </row>
    <row r="6" spans="2:14" ht="15.75">
      <c r="B6" s="114"/>
      <c r="D6" s="114"/>
      <c r="E6" s="114"/>
      <c r="F6" s="114"/>
      <c r="H6" s="114"/>
      <c r="J6" s="114"/>
      <c r="L6" s="38"/>
      <c r="N6" s="114"/>
    </row>
    <row r="7" spans="2:14" ht="15.75">
      <c r="B7" s="210" t="s">
        <v>0</v>
      </c>
      <c r="D7" s="114"/>
      <c r="E7" s="114"/>
      <c r="F7" s="114"/>
      <c r="H7" s="114"/>
      <c r="J7" s="114"/>
      <c r="L7" s="38"/>
      <c r="N7" s="114"/>
    </row>
    <row r="8" spans="2:14" ht="15.75">
      <c r="B8" s="210"/>
      <c r="D8" s="114"/>
      <c r="E8" s="114"/>
      <c r="F8" s="114"/>
      <c r="H8" s="114"/>
      <c r="J8" s="114"/>
      <c r="L8" s="38"/>
      <c r="N8" s="114"/>
    </row>
    <row r="9" spans="2:14" ht="15.75">
      <c r="B9" s="210" t="s">
        <v>63</v>
      </c>
      <c r="D9" s="114"/>
      <c r="E9" s="114"/>
      <c r="F9" s="114"/>
      <c r="H9" s="114"/>
      <c r="J9" s="114"/>
      <c r="L9" s="38"/>
      <c r="N9" s="114"/>
    </row>
    <row r="10" spans="2:14" ht="15.75">
      <c r="B10" s="210" t="s">
        <v>326</v>
      </c>
      <c r="D10" s="114"/>
      <c r="E10" s="114"/>
      <c r="F10" s="114"/>
      <c r="H10" s="114"/>
      <c r="J10" s="114"/>
      <c r="L10" s="38"/>
      <c r="N10" s="114"/>
    </row>
    <row r="11" spans="2:14" ht="15.75">
      <c r="B11" s="210" t="s">
        <v>1</v>
      </c>
      <c r="D11" s="114"/>
      <c r="E11" s="114"/>
      <c r="F11" s="114"/>
      <c r="H11" s="114"/>
      <c r="J11" s="114"/>
      <c r="L11" s="38"/>
      <c r="N11" s="114"/>
    </row>
    <row r="12" spans="2:14" ht="15.75">
      <c r="B12" s="114"/>
      <c r="D12" s="114"/>
      <c r="E12" s="114"/>
      <c r="F12" s="114"/>
      <c r="H12" s="114"/>
      <c r="J12" s="114"/>
      <c r="L12" s="38"/>
      <c r="N12" s="114"/>
    </row>
    <row r="13" spans="1:16" s="117" customFormat="1" ht="14.25" customHeight="1">
      <c r="A13" s="212"/>
      <c r="B13" s="118"/>
      <c r="C13" s="119"/>
      <c r="D13" s="120" t="s">
        <v>306</v>
      </c>
      <c r="E13" s="120"/>
      <c r="F13" s="120"/>
      <c r="L13" s="121"/>
      <c r="N13" s="121"/>
      <c r="P13" s="169"/>
    </row>
    <row r="14" spans="1:16" s="117" customFormat="1" ht="37.5" customHeight="1">
      <c r="A14" s="212"/>
      <c r="C14" s="119"/>
      <c r="D14" s="122" t="s">
        <v>26</v>
      </c>
      <c r="E14" s="122" t="s">
        <v>64</v>
      </c>
      <c r="F14" s="121" t="s">
        <v>66</v>
      </c>
      <c r="H14" s="121" t="s">
        <v>27</v>
      </c>
      <c r="J14" s="121" t="s">
        <v>65</v>
      </c>
      <c r="L14" s="121" t="s">
        <v>29</v>
      </c>
      <c r="N14" s="121" t="s">
        <v>1103</v>
      </c>
      <c r="P14" s="169"/>
    </row>
    <row r="15" spans="1:16" s="117" customFormat="1" ht="16.5" thickBot="1">
      <c r="A15" s="212"/>
      <c r="B15" s="123" t="s">
        <v>68</v>
      </c>
      <c r="C15" s="119"/>
      <c r="D15" s="124">
        <v>123786</v>
      </c>
      <c r="E15" s="124">
        <v>-85200</v>
      </c>
      <c r="F15" s="124">
        <v>-647</v>
      </c>
      <c r="G15" s="126"/>
      <c r="H15" s="124">
        <v>1702</v>
      </c>
      <c r="I15" s="126"/>
      <c r="J15" s="124">
        <v>16639</v>
      </c>
      <c r="K15" s="127"/>
      <c r="L15" s="124">
        <v>23743</v>
      </c>
      <c r="M15" s="125"/>
      <c r="N15" s="168">
        <v>80023</v>
      </c>
      <c r="P15" s="169"/>
    </row>
    <row r="16" spans="1:16" s="115" customFormat="1" ht="16.5" thickTop="1">
      <c r="A16" s="213"/>
      <c r="B16" s="123"/>
      <c r="C16" s="112"/>
      <c r="D16" s="125"/>
      <c r="E16" s="125"/>
      <c r="F16" s="125"/>
      <c r="G16" s="159"/>
      <c r="H16" s="125"/>
      <c r="I16" s="159"/>
      <c r="J16" s="125"/>
      <c r="K16" s="159"/>
      <c r="L16" s="159"/>
      <c r="M16" s="159"/>
      <c r="N16" s="125"/>
      <c r="P16" s="130"/>
    </row>
    <row r="17" spans="1:16" s="115" customFormat="1" ht="15.75">
      <c r="A17" s="213"/>
      <c r="B17" s="56" t="s">
        <v>70</v>
      </c>
      <c r="C17" s="112"/>
      <c r="D17" s="128">
        <v>0</v>
      </c>
      <c r="E17" s="128">
        <v>0</v>
      </c>
      <c r="F17" s="128">
        <v>0</v>
      </c>
      <c r="G17" s="159"/>
      <c r="H17" s="128">
        <v>0</v>
      </c>
      <c r="I17" s="159"/>
      <c r="J17" s="128">
        <v>-1861</v>
      </c>
      <c r="K17" s="159"/>
      <c r="L17" s="129">
        <v>1861</v>
      </c>
      <c r="M17" s="159"/>
      <c r="N17" s="128">
        <f aca="true" t="shared" si="0" ref="N17:N22">SUM(D17:L17)</f>
        <v>0</v>
      </c>
      <c r="P17" s="130"/>
    </row>
    <row r="18" spans="1:16" s="115" customFormat="1" ht="15.75">
      <c r="A18" s="213"/>
      <c r="B18" s="56" t="s">
        <v>307</v>
      </c>
      <c r="C18" s="112"/>
      <c r="D18" s="128">
        <v>0</v>
      </c>
      <c r="E18" s="128">
        <v>0</v>
      </c>
      <c r="F18" s="128">
        <v>0</v>
      </c>
      <c r="G18" s="159"/>
      <c r="H18" s="128">
        <v>0</v>
      </c>
      <c r="I18" s="159"/>
      <c r="J18" s="128">
        <v>0</v>
      </c>
      <c r="K18" s="159"/>
      <c r="L18" s="129">
        <f>-306</f>
        <v>-306</v>
      </c>
      <c r="M18" s="159"/>
      <c r="N18" s="128">
        <f t="shared" si="0"/>
        <v>-306</v>
      </c>
      <c r="P18" s="130"/>
    </row>
    <row r="19" spans="1:16" s="115" customFormat="1" ht="15.75">
      <c r="A19" s="213"/>
      <c r="B19" s="56" t="s">
        <v>69</v>
      </c>
      <c r="C19" s="112"/>
      <c r="D19" s="128">
        <v>0</v>
      </c>
      <c r="E19" s="128">
        <v>0</v>
      </c>
      <c r="F19" s="128">
        <v>0</v>
      </c>
      <c r="G19" s="159"/>
      <c r="H19" s="128">
        <v>0</v>
      </c>
      <c r="I19" s="159"/>
      <c r="J19" s="128">
        <v>0</v>
      </c>
      <c r="K19" s="159"/>
      <c r="L19" s="129">
        <v>0</v>
      </c>
      <c r="M19" s="159"/>
      <c r="N19" s="128">
        <f t="shared" si="0"/>
        <v>0</v>
      </c>
      <c r="P19" s="130"/>
    </row>
    <row r="20" spans="1:22" s="115" customFormat="1" ht="15.75">
      <c r="A20" s="213"/>
      <c r="B20" s="56" t="s">
        <v>290</v>
      </c>
      <c r="C20" s="112"/>
      <c r="D20" s="128">
        <v>0</v>
      </c>
      <c r="E20" s="128">
        <v>0</v>
      </c>
      <c r="F20" s="128">
        <v>0</v>
      </c>
      <c r="G20" s="159"/>
      <c r="H20" s="128">
        <v>0</v>
      </c>
      <c r="I20" s="159"/>
      <c r="J20" s="128">
        <v>0</v>
      </c>
      <c r="K20" s="159"/>
      <c r="L20" s="129">
        <v>0</v>
      </c>
      <c r="M20" s="159"/>
      <c r="N20" s="128">
        <f t="shared" si="0"/>
        <v>0</v>
      </c>
      <c r="P20" s="130"/>
      <c r="Q20" s="131"/>
      <c r="R20" s="131"/>
      <c r="S20" s="131"/>
      <c r="T20" s="131"/>
      <c r="U20" s="131"/>
      <c r="V20" s="131"/>
    </row>
    <row r="21" spans="1:16" s="115" customFormat="1" ht="15.75">
      <c r="A21" s="213"/>
      <c r="B21" s="56" t="s">
        <v>276</v>
      </c>
      <c r="C21" s="112"/>
      <c r="D21" s="128">
        <v>0</v>
      </c>
      <c r="E21" s="128">
        <v>0</v>
      </c>
      <c r="F21" s="128">
        <f>150</f>
        <v>150</v>
      </c>
      <c r="G21" s="159"/>
      <c r="H21" s="128">
        <v>0</v>
      </c>
      <c r="I21" s="159"/>
      <c r="J21" s="128">
        <v>0</v>
      </c>
      <c r="K21" s="159"/>
      <c r="L21" s="129">
        <v>0</v>
      </c>
      <c r="M21" s="159"/>
      <c r="N21" s="128">
        <f t="shared" si="0"/>
        <v>150</v>
      </c>
      <c r="P21" s="130"/>
    </row>
    <row r="22" spans="1:16" s="115" customFormat="1" ht="15.75">
      <c r="A22" s="213"/>
      <c r="B22" s="115" t="s">
        <v>67</v>
      </c>
      <c r="C22" s="112"/>
      <c r="D22" s="129">
        <v>0</v>
      </c>
      <c r="E22" s="129">
        <v>0</v>
      </c>
      <c r="F22" s="129">
        <v>0</v>
      </c>
      <c r="G22" s="159"/>
      <c r="H22" s="129">
        <v>0</v>
      </c>
      <c r="I22" s="159"/>
      <c r="J22" s="129">
        <v>0</v>
      </c>
      <c r="K22" s="159"/>
      <c r="L22" s="129">
        <v>3040</v>
      </c>
      <c r="M22" s="159"/>
      <c r="N22" s="128">
        <f t="shared" si="0"/>
        <v>3040</v>
      </c>
      <c r="P22" s="130"/>
    </row>
    <row r="23" spans="1:16" s="115" customFormat="1" ht="15.75">
      <c r="A23" s="213"/>
      <c r="C23" s="112"/>
      <c r="D23" s="129"/>
      <c r="E23" s="129"/>
      <c r="F23" s="129"/>
      <c r="G23" s="159"/>
      <c r="H23" s="129"/>
      <c r="I23" s="159"/>
      <c r="J23" s="129"/>
      <c r="K23" s="159"/>
      <c r="L23" s="129"/>
      <c r="M23" s="159"/>
      <c r="N23" s="129"/>
      <c r="P23" s="130"/>
    </row>
    <row r="24" spans="1:16" s="132" customFormat="1" ht="16.5" thickBot="1">
      <c r="A24" s="214"/>
      <c r="B24" s="123" t="s">
        <v>89</v>
      </c>
      <c r="C24" s="119"/>
      <c r="D24" s="124">
        <f>SUM(D15:D23)</f>
        <v>123786</v>
      </c>
      <c r="E24" s="124">
        <f>SUM(E15:E23)</f>
        <v>-85200</v>
      </c>
      <c r="F24" s="124">
        <f>SUM(F15:F23)</f>
        <v>-497</v>
      </c>
      <c r="G24" s="126"/>
      <c r="H24" s="124">
        <f>SUM(H15:H23)</f>
        <v>1702</v>
      </c>
      <c r="I24" s="126"/>
      <c r="J24" s="124">
        <f>SUM(J15:J23)</f>
        <v>14778</v>
      </c>
      <c r="K24" s="127"/>
      <c r="L24" s="124">
        <f>SUM(L15:L23)</f>
        <v>28338</v>
      </c>
      <c r="M24" s="125"/>
      <c r="N24" s="124">
        <f>SUM(N15:N23)</f>
        <v>82907</v>
      </c>
      <c r="P24" s="245"/>
    </row>
    <row r="25" spans="1:16" s="115" customFormat="1" ht="16.5" thickTop="1">
      <c r="A25" s="213"/>
      <c r="B25" s="123"/>
      <c r="C25" s="112"/>
      <c r="D25" s="125"/>
      <c r="E25" s="125"/>
      <c r="F25" s="125"/>
      <c r="G25" s="159"/>
      <c r="H25" s="125"/>
      <c r="I25" s="159"/>
      <c r="J25" s="125"/>
      <c r="K25" s="159"/>
      <c r="L25" s="159"/>
      <c r="M25" s="159"/>
      <c r="N25" s="125"/>
      <c r="P25" s="130"/>
    </row>
    <row r="26" spans="1:18" s="115" customFormat="1" ht="15.75">
      <c r="A26" s="213"/>
      <c r="B26" s="56" t="s">
        <v>70</v>
      </c>
      <c r="C26" s="112"/>
      <c r="D26" s="128">
        <v>0</v>
      </c>
      <c r="E26" s="128">
        <v>0</v>
      </c>
      <c r="F26" s="128">
        <v>0</v>
      </c>
      <c r="G26" s="159"/>
      <c r="H26" s="128">
        <v>0</v>
      </c>
      <c r="I26" s="159"/>
      <c r="J26" s="128">
        <v>-1844</v>
      </c>
      <c r="K26" s="159"/>
      <c r="L26" s="128">
        <v>1844</v>
      </c>
      <c r="M26" s="159"/>
      <c r="N26" s="128">
        <f aca="true" t="shared" si="1" ref="N26:N31">SUM(D26:L26)</f>
        <v>0</v>
      </c>
      <c r="P26" s="130">
        <f>82887290.23</f>
        <v>82887290.23</v>
      </c>
      <c r="R26" s="130">
        <f>82907011.73</f>
        <v>82907011.73</v>
      </c>
    </row>
    <row r="27" spans="1:16" s="115" customFormat="1" ht="15.75">
      <c r="A27" s="213"/>
      <c r="B27" s="56" t="s">
        <v>307</v>
      </c>
      <c r="C27" s="112"/>
      <c r="D27" s="128">
        <v>0</v>
      </c>
      <c r="E27" s="128">
        <v>0</v>
      </c>
      <c r="F27" s="128">
        <v>0</v>
      </c>
      <c r="G27" s="159"/>
      <c r="H27" s="128">
        <v>0</v>
      </c>
      <c r="I27" s="159"/>
      <c r="J27" s="128">
        <v>0</v>
      </c>
      <c r="K27" s="159"/>
      <c r="L27" s="129">
        <v>95</v>
      </c>
      <c r="M27" s="159"/>
      <c r="N27" s="128">
        <f t="shared" si="1"/>
        <v>95</v>
      </c>
      <c r="P27" s="130">
        <v>5666995.1</v>
      </c>
    </row>
    <row r="28" spans="1:19" s="115" customFormat="1" ht="15.75">
      <c r="A28" s="213"/>
      <c r="B28" s="56" t="s">
        <v>69</v>
      </c>
      <c r="C28" s="112"/>
      <c r="D28" s="129">
        <v>28336</v>
      </c>
      <c r="E28" s="128">
        <v>0</v>
      </c>
      <c r="F28" s="128">
        <v>0</v>
      </c>
      <c r="G28" s="159"/>
      <c r="H28" s="128">
        <v>0</v>
      </c>
      <c r="I28" s="159"/>
      <c r="J28" s="128">
        <v>0</v>
      </c>
      <c r="K28" s="159"/>
      <c r="L28" s="129">
        <f>-28336</f>
        <v>-28336</v>
      </c>
      <c r="M28" s="159"/>
      <c r="N28" s="128">
        <f t="shared" si="1"/>
        <v>0</v>
      </c>
      <c r="P28" s="130">
        <f>P26+P27</f>
        <v>88554285.33</v>
      </c>
      <c r="R28" s="249">
        <f>R26/1000</f>
        <v>82907.01173</v>
      </c>
      <c r="S28" s="249"/>
    </row>
    <row r="29" spans="1:22" s="115" customFormat="1" ht="15.75">
      <c r="A29" s="213"/>
      <c r="B29" s="56" t="s">
        <v>290</v>
      </c>
      <c r="C29" s="36"/>
      <c r="D29" s="128">
        <v>0</v>
      </c>
      <c r="E29" s="128">
        <v>0</v>
      </c>
      <c r="F29" s="128">
        <v>-113</v>
      </c>
      <c r="G29" s="314"/>
      <c r="H29" s="128">
        <v>0</v>
      </c>
      <c r="I29" s="314"/>
      <c r="J29" s="128">
        <v>0</v>
      </c>
      <c r="K29" s="314"/>
      <c r="L29" s="128">
        <v>0</v>
      </c>
      <c r="M29" s="314"/>
      <c r="N29" s="128">
        <f t="shared" si="1"/>
        <v>-113</v>
      </c>
      <c r="P29" s="130"/>
      <c r="Q29" s="131"/>
      <c r="R29" s="131"/>
      <c r="S29" s="131"/>
      <c r="T29" s="131"/>
      <c r="U29" s="131"/>
      <c r="V29" s="131"/>
    </row>
    <row r="30" spans="1:18" s="115" customFormat="1" ht="15.75">
      <c r="A30" s="213"/>
      <c r="B30" s="56" t="s">
        <v>276</v>
      </c>
      <c r="C30" s="36"/>
      <c r="D30" s="128">
        <v>0</v>
      </c>
      <c r="E30" s="128">
        <v>0</v>
      </c>
      <c r="F30" s="128">
        <v>0</v>
      </c>
      <c r="G30" s="314"/>
      <c r="H30" s="128">
        <v>0</v>
      </c>
      <c r="I30" s="314"/>
      <c r="J30" s="128">
        <v>0</v>
      </c>
      <c r="K30" s="314"/>
      <c r="L30" s="128">
        <v>0</v>
      </c>
      <c r="M30" s="314"/>
      <c r="N30" s="128">
        <f t="shared" si="1"/>
        <v>0</v>
      </c>
      <c r="P30" s="130">
        <f>P28/1000</f>
        <v>88554.28533</v>
      </c>
      <c r="Q30" s="249">
        <f>P30-N33</f>
        <v>-0.7146700000012061</v>
      </c>
      <c r="R30" s="249">
        <f>Q30*1000</f>
        <v>-714.6700000012061</v>
      </c>
    </row>
    <row r="31" spans="1:18" s="115" customFormat="1" ht="15.75">
      <c r="A31" s="213"/>
      <c r="B31" s="56" t="s">
        <v>67</v>
      </c>
      <c r="C31" s="36"/>
      <c r="D31" s="128"/>
      <c r="E31" s="128">
        <v>0</v>
      </c>
      <c r="F31" s="128">
        <v>0</v>
      </c>
      <c r="G31" s="314"/>
      <c r="H31" s="128">
        <v>0</v>
      </c>
      <c r="I31" s="314"/>
      <c r="J31" s="128">
        <v>0</v>
      </c>
      <c r="K31" s="314"/>
      <c r="L31" s="128">
        <v>5666</v>
      </c>
      <c r="M31" s="314"/>
      <c r="N31" s="128">
        <f t="shared" si="1"/>
        <v>5666</v>
      </c>
      <c r="P31" s="130"/>
      <c r="Q31" s="249">
        <f>Q30/2</f>
        <v>-0.35733500000060303</v>
      </c>
      <c r="R31" s="249">
        <f>R30/2</f>
        <v>-357.33500000060303</v>
      </c>
    </row>
    <row r="32" spans="1:16" s="115" customFormat="1" ht="15.75">
      <c r="A32" s="213"/>
      <c r="B32" s="56"/>
      <c r="C32" s="36"/>
      <c r="D32" s="128"/>
      <c r="E32" s="128"/>
      <c r="F32" s="128"/>
      <c r="G32" s="314"/>
      <c r="H32" s="128"/>
      <c r="I32" s="314"/>
      <c r="J32" s="128"/>
      <c r="K32" s="314"/>
      <c r="L32" s="128"/>
      <c r="M32" s="314"/>
      <c r="N32" s="128"/>
      <c r="P32" s="130">
        <f>458056.27+38123.77</f>
        <v>496180.04000000004</v>
      </c>
    </row>
    <row r="33" spans="1:16" s="132" customFormat="1" ht="16.5" thickBot="1">
      <c r="A33" s="214"/>
      <c r="B33" s="315" t="s">
        <v>328</v>
      </c>
      <c r="C33" s="46"/>
      <c r="D33" s="248">
        <f>SUM(D24:D32)</f>
        <v>152122</v>
      </c>
      <c r="E33" s="248">
        <f>SUM(E24:E32)</f>
        <v>-85200</v>
      </c>
      <c r="F33" s="248">
        <f>SUM(F24:F32)</f>
        <v>-610</v>
      </c>
      <c r="G33" s="316"/>
      <c r="H33" s="248">
        <f>SUM(H24:H32)</f>
        <v>1702</v>
      </c>
      <c r="I33" s="316"/>
      <c r="J33" s="248">
        <f>SUM(J24:J32)</f>
        <v>12934</v>
      </c>
      <c r="K33" s="127"/>
      <c r="L33" s="248">
        <f>SUM(L24:L32)</f>
        <v>7607</v>
      </c>
      <c r="M33" s="127"/>
      <c r="N33" s="248">
        <f>SUM(N24:N32)</f>
        <v>88555</v>
      </c>
      <c r="P33" s="245">
        <f>614990.16-500618.85</f>
        <v>114371.31000000006</v>
      </c>
    </row>
    <row r="34" spans="1:16" s="36" customFormat="1" ht="16.5" thickTop="1">
      <c r="A34" s="21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M34" s="115"/>
      <c r="N34" s="112"/>
      <c r="P34" s="72">
        <f>P32+P33</f>
        <v>610551.3500000001</v>
      </c>
    </row>
    <row r="35" spans="1:18" s="46" customFormat="1" ht="23.25" customHeight="1">
      <c r="A35" s="216"/>
      <c r="B35" s="36"/>
      <c r="C35" s="112"/>
      <c r="E35" s="170"/>
      <c r="F35" s="170"/>
      <c r="G35" s="112"/>
      <c r="H35" s="35"/>
      <c r="I35" s="112"/>
      <c r="J35" s="35"/>
      <c r="K35" s="112"/>
      <c r="L35" s="35"/>
      <c r="M35" s="112"/>
      <c r="N35" s="35" t="s">
        <v>327</v>
      </c>
      <c r="P35" s="83">
        <f>458056.27+152495.08</f>
        <v>610551.35</v>
      </c>
      <c r="R35" s="73"/>
    </row>
    <row r="36" spans="1:18" s="46" customFormat="1" ht="23.25" customHeight="1">
      <c r="A36" s="216"/>
      <c r="B36" s="36"/>
      <c r="C36" s="112"/>
      <c r="E36" s="35"/>
      <c r="F36" s="35"/>
      <c r="G36" s="112"/>
      <c r="H36" s="35"/>
      <c r="I36" s="112"/>
      <c r="J36" s="35"/>
      <c r="K36" s="112"/>
      <c r="L36" s="35"/>
      <c r="M36" s="112"/>
      <c r="N36" s="35"/>
      <c r="P36" s="83">
        <f>P35/1000</f>
        <v>610.55135</v>
      </c>
      <c r="R36" s="73"/>
    </row>
    <row r="37" spans="1:16" s="36" customFormat="1" ht="13.5" customHeight="1">
      <c r="A37" s="215"/>
      <c r="C37" s="112"/>
      <c r="D37" s="46"/>
      <c r="E37" s="171"/>
      <c r="G37" s="112"/>
      <c r="I37" s="36" t="s">
        <v>308</v>
      </c>
      <c r="K37" s="112"/>
      <c r="M37" s="112"/>
      <c r="P37" s="83"/>
    </row>
    <row r="38" spans="1:16" s="36" customFormat="1" ht="13.5" customHeight="1">
      <c r="A38" s="215"/>
      <c r="C38" s="112"/>
      <c r="D38" s="46"/>
      <c r="G38" s="112"/>
      <c r="I38" s="112"/>
      <c r="K38" s="112"/>
      <c r="M38" s="112"/>
      <c r="P38" s="83"/>
    </row>
    <row r="39" spans="1:20" s="46" customFormat="1" ht="13.5" customHeight="1">
      <c r="A39" s="216"/>
      <c r="B39" s="36"/>
      <c r="C39" s="112"/>
      <c r="E39" s="36"/>
      <c r="F39" s="36"/>
      <c r="G39" s="112"/>
      <c r="H39" s="36"/>
      <c r="I39" s="112"/>
      <c r="J39" s="36"/>
      <c r="K39" s="112"/>
      <c r="L39" s="36"/>
      <c r="M39" s="112"/>
      <c r="P39" s="246"/>
      <c r="R39" s="73"/>
      <c r="T39" s="75"/>
    </row>
    <row r="40" spans="1:18" s="36" customFormat="1" ht="13.5" customHeight="1">
      <c r="A40" s="215"/>
      <c r="C40" s="112"/>
      <c r="D40" s="46"/>
      <c r="G40" s="112"/>
      <c r="I40" s="112"/>
      <c r="K40" s="112"/>
      <c r="M40" s="112"/>
      <c r="P40" s="246"/>
      <c r="R40" s="60"/>
    </row>
    <row r="41" spans="1:18" s="36" customFormat="1" ht="13.5" customHeight="1">
      <c r="A41" s="215"/>
      <c r="C41" s="112"/>
      <c r="D41" s="77" t="s">
        <v>303</v>
      </c>
      <c r="G41" s="112"/>
      <c r="I41" s="112"/>
      <c r="K41" s="112"/>
      <c r="M41" s="112"/>
      <c r="P41" s="246"/>
      <c r="R41" s="60"/>
    </row>
    <row r="42" spans="1:22" s="36" customFormat="1" ht="13.5" customHeight="1">
      <c r="A42" s="215"/>
      <c r="C42" s="112"/>
      <c r="D42" s="77" t="s">
        <v>0</v>
      </c>
      <c r="E42" s="70"/>
      <c r="G42" s="112"/>
      <c r="I42" s="112"/>
      <c r="J42" s="78" t="s">
        <v>309</v>
      </c>
      <c r="K42" s="112"/>
      <c r="L42" s="46"/>
      <c r="M42" s="112"/>
      <c r="P42" s="47" t="s">
        <v>26</v>
      </c>
      <c r="Q42" s="48"/>
      <c r="R42" s="63"/>
      <c r="S42" s="51"/>
      <c r="T42" s="178">
        <v>66312</v>
      </c>
      <c r="U42" s="313">
        <f>D33+E33+F33</f>
        <v>66312</v>
      </c>
      <c r="V42" s="83">
        <f>T42-U42</f>
        <v>0</v>
      </c>
    </row>
    <row r="43" spans="1:22" s="36" customFormat="1" ht="13.5" customHeight="1">
      <c r="A43" s="215"/>
      <c r="C43" s="112"/>
      <c r="D43" s="77" t="s">
        <v>293</v>
      </c>
      <c r="E43" s="80"/>
      <c r="G43" s="112"/>
      <c r="I43" s="112"/>
      <c r="J43" s="77" t="s">
        <v>292</v>
      </c>
      <c r="K43" s="112"/>
      <c r="M43" s="112"/>
      <c r="P43" s="47" t="s">
        <v>27</v>
      </c>
      <c r="Q43" s="48"/>
      <c r="R43" s="63"/>
      <c r="S43" s="51"/>
      <c r="T43" s="178">
        <v>1702</v>
      </c>
      <c r="U43" s="171">
        <f>H33</f>
        <v>1702</v>
      </c>
      <c r="V43" s="83">
        <f>T43-U43</f>
        <v>0</v>
      </c>
    </row>
    <row r="44" spans="1:22" s="36" customFormat="1" ht="13.5" customHeight="1">
      <c r="A44" s="215"/>
      <c r="C44" s="112"/>
      <c r="D44" s="77" t="s">
        <v>295</v>
      </c>
      <c r="E44" s="80"/>
      <c r="G44" s="112"/>
      <c r="I44" s="112"/>
      <c r="J44" s="77" t="s">
        <v>294</v>
      </c>
      <c r="K44" s="112"/>
      <c r="M44" s="112"/>
      <c r="P44" s="47" t="s">
        <v>28</v>
      </c>
      <c r="Q44" s="48"/>
      <c r="R44" s="63"/>
      <c r="S44" s="51"/>
      <c r="T44" s="178">
        <v>12934</v>
      </c>
      <c r="U44" s="171">
        <f>J33</f>
        <v>12934</v>
      </c>
      <c r="V44" s="83">
        <f>T44-U44</f>
        <v>0</v>
      </c>
    </row>
    <row r="45" spans="1:22" s="36" customFormat="1" ht="13.5" customHeight="1">
      <c r="A45" s="215"/>
      <c r="C45" s="112"/>
      <c r="D45" s="77" t="s">
        <v>297</v>
      </c>
      <c r="E45" s="80"/>
      <c r="G45" s="112"/>
      <c r="I45" s="112"/>
      <c r="J45" s="77" t="s">
        <v>296</v>
      </c>
      <c r="K45" s="112"/>
      <c r="M45" s="112"/>
      <c r="P45" s="47" t="s">
        <v>29</v>
      </c>
      <c r="Q45" s="48"/>
      <c r="R45" s="63"/>
      <c r="S45" s="51"/>
      <c r="T45" s="182">
        <v>7607</v>
      </c>
      <c r="U45" s="171">
        <f>L33</f>
        <v>7607</v>
      </c>
      <c r="V45" s="83">
        <f>T45-U45</f>
        <v>0</v>
      </c>
    </row>
    <row r="46" spans="1:16" s="36" customFormat="1" ht="13.5" customHeight="1">
      <c r="A46" s="215"/>
      <c r="C46" s="112"/>
      <c r="D46" s="80"/>
      <c r="E46" s="80"/>
      <c r="F46" s="80"/>
      <c r="G46" s="112"/>
      <c r="I46" s="112"/>
      <c r="J46" s="77" t="s">
        <v>298</v>
      </c>
      <c r="K46" s="112"/>
      <c r="M46" s="112"/>
      <c r="P46" s="247"/>
    </row>
    <row r="47" spans="1:16" s="36" customFormat="1" ht="13.5" customHeight="1">
      <c r="A47" s="215"/>
      <c r="C47" s="112"/>
      <c r="D47" s="46"/>
      <c r="E47" s="56"/>
      <c r="F47" s="56"/>
      <c r="G47" s="112"/>
      <c r="H47" s="81"/>
      <c r="I47" s="112"/>
      <c r="J47" s="112"/>
      <c r="K47" s="112"/>
      <c r="L47" s="112"/>
      <c r="M47" s="112"/>
      <c r="N47" s="112"/>
      <c r="O47" s="112"/>
      <c r="P47" s="83"/>
    </row>
    <row r="48" spans="1:16" s="36" customFormat="1" ht="13.5" customHeight="1">
      <c r="A48" s="215"/>
      <c r="C48" s="112"/>
      <c r="D48" s="46"/>
      <c r="E48" s="56"/>
      <c r="F48" s="56"/>
      <c r="G48" s="112"/>
      <c r="H48" s="81"/>
      <c r="I48" s="112"/>
      <c r="J48" s="112"/>
      <c r="K48" s="112"/>
      <c r="L48" s="112"/>
      <c r="M48" s="112"/>
      <c r="N48" s="112"/>
      <c r="O48" s="112"/>
      <c r="P48" s="83"/>
    </row>
    <row r="49" spans="1:9" s="36" customFormat="1" ht="13.5" customHeight="1">
      <c r="A49" s="215"/>
      <c r="C49" s="112"/>
      <c r="D49" s="46"/>
      <c r="G49" s="112"/>
      <c r="H49" s="112"/>
      <c r="I49" s="112"/>
    </row>
    <row r="50" spans="1:9" s="36" customFormat="1" ht="13.5" customHeight="1">
      <c r="A50" s="215"/>
      <c r="C50" s="112"/>
      <c r="G50" s="77" t="s">
        <v>302</v>
      </c>
      <c r="I50" s="112"/>
    </row>
    <row r="51" spans="1:9" s="36" customFormat="1" ht="13.5" customHeight="1">
      <c r="A51" s="215"/>
      <c r="C51" s="112"/>
      <c r="G51" s="77" t="s">
        <v>299</v>
      </c>
      <c r="I51" s="112"/>
    </row>
    <row r="52" spans="1:14" s="36" customFormat="1" ht="17.25" customHeight="1">
      <c r="A52" s="215"/>
      <c r="C52" s="112"/>
      <c r="G52" s="77" t="s">
        <v>300</v>
      </c>
      <c r="I52" s="112"/>
      <c r="N52" s="329">
        <v>3</v>
      </c>
    </row>
    <row r="53" spans="1:16" s="36" customFormat="1" ht="13.5" customHeight="1">
      <c r="A53" s="215"/>
      <c r="C53" s="112"/>
      <c r="G53" s="77" t="s">
        <v>301</v>
      </c>
      <c r="I53" s="112"/>
      <c r="K53" s="112"/>
      <c r="M53" s="112"/>
      <c r="P53" s="83"/>
    </row>
    <row r="54" spans="1:16" s="36" customFormat="1" ht="13.5" customHeight="1">
      <c r="A54" s="215"/>
      <c r="C54" s="112"/>
      <c r="G54" s="112"/>
      <c r="I54" s="112"/>
      <c r="K54" s="112"/>
      <c r="M54" s="112"/>
      <c r="P54" s="83"/>
    </row>
    <row r="55" spans="1:16" s="36" customFormat="1" ht="13.5" customHeight="1">
      <c r="A55" s="215"/>
      <c r="C55" s="112"/>
      <c r="D55" s="46"/>
      <c r="G55" s="112"/>
      <c r="I55" s="112"/>
      <c r="K55" s="112"/>
      <c r="M55" s="112"/>
      <c r="P55" s="83"/>
    </row>
    <row r="56" spans="1:16" s="36" customFormat="1" ht="13.5" customHeight="1">
      <c r="A56" s="215"/>
      <c r="C56" s="112"/>
      <c r="D56" s="46"/>
      <c r="G56" s="112"/>
      <c r="I56" s="112"/>
      <c r="K56" s="112"/>
      <c r="M56" s="112"/>
      <c r="P56" s="83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6"/>
  <sheetViews>
    <sheetView showGridLines="0" zoomScaleSheetLayoutView="85" zoomScalePageLayoutView="0" workbookViewId="0" topLeftCell="A55">
      <selection activeCell="G56" sqref="G56"/>
    </sheetView>
  </sheetViews>
  <sheetFormatPr defaultColWidth="9.140625" defaultRowHeight="15"/>
  <cols>
    <col min="1" max="1" width="4.140625" style="133" customWidth="1"/>
    <col min="2" max="2" width="1.7109375" style="133" customWidth="1"/>
    <col min="3" max="3" width="58.7109375" style="133" customWidth="1"/>
    <col min="4" max="4" width="7.140625" style="133" customWidth="1"/>
    <col min="5" max="5" width="15.57421875" style="303" customWidth="1"/>
    <col min="6" max="6" width="3.28125" style="133" customWidth="1"/>
    <col min="7" max="7" width="4.7109375" style="133" customWidth="1"/>
    <col min="8" max="8" width="1.28515625" style="133" customWidth="1"/>
    <col min="9" max="9" width="9.140625" style="133" hidden="1" customWidth="1"/>
    <col min="10" max="10" width="16.421875" style="107" customWidth="1"/>
    <col min="11" max="11" width="9.7109375" style="258" bestFit="1" customWidth="1"/>
    <col min="12" max="12" width="10.8515625" style="258" bestFit="1" customWidth="1"/>
    <col min="13" max="13" width="11.57421875" style="258" bestFit="1" customWidth="1"/>
    <col min="14" max="15" width="9.7109375" style="258" customWidth="1"/>
    <col min="16" max="17" width="13.7109375" style="258" bestFit="1" customWidth="1"/>
    <col min="18" max="18" width="11.7109375" style="258" bestFit="1" customWidth="1"/>
    <col min="19" max="19" width="11.8515625" style="162" bestFit="1" customWidth="1"/>
    <col min="20" max="20" width="11.7109375" style="162" bestFit="1" customWidth="1"/>
    <col min="21" max="21" width="10.421875" style="162" bestFit="1" customWidth="1"/>
    <col min="22" max="23" width="11.57421875" style="162" bestFit="1" customWidth="1"/>
    <col min="24" max="16384" width="9.140625" style="133" customWidth="1"/>
  </cols>
  <sheetData>
    <row r="1" spans="2:10" ht="7.5" customHeight="1">
      <c r="B1" s="140"/>
      <c r="C1" s="38"/>
      <c r="D1" s="38"/>
      <c r="E1" s="281"/>
      <c r="F1" s="116"/>
      <c r="J1" s="304"/>
    </row>
    <row r="2" spans="2:10" ht="12.75" customHeight="1">
      <c r="B2" s="209" t="s">
        <v>0</v>
      </c>
      <c r="C2" s="274"/>
      <c r="D2" s="274"/>
      <c r="E2" s="281"/>
      <c r="F2" s="116"/>
      <c r="J2" s="304"/>
    </row>
    <row r="3" spans="2:10" ht="12.75" customHeight="1">
      <c r="B3" s="209"/>
      <c r="C3" s="274"/>
      <c r="D3" s="274"/>
      <c r="E3" s="282"/>
      <c r="F3" s="116"/>
      <c r="J3" s="304"/>
    </row>
    <row r="4" spans="2:10" ht="12.75" customHeight="1">
      <c r="B4" s="209" t="s">
        <v>304</v>
      </c>
      <c r="C4" s="274"/>
      <c r="D4" s="274"/>
      <c r="E4" s="282"/>
      <c r="F4" s="116"/>
      <c r="J4" s="304"/>
    </row>
    <row r="5" spans="2:23" ht="12.75" customHeight="1">
      <c r="B5" s="209" t="s">
        <v>324</v>
      </c>
      <c r="E5" s="282"/>
      <c r="F5" s="116"/>
      <c r="J5" s="304"/>
      <c r="P5" s="259"/>
      <c r="Q5" s="259"/>
      <c r="R5" s="259"/>
      <c r="S5" s="134"/>
      <c r="T5" s="134"/>
      <c r="U5" s="134"/>
      <c r="V5" s="134"/>
      <c r="W5" s="134"/>
    </row>
    <row r="6" spans="2:23" ht="12.75" customHeight="1">
      <c r="B6" s="209" t="s">
        <v>1</v>
      </c>
      <c r="E6" s="282"/>
      <c r="F6" s="116"/>
      <c r="J6" s="304"/>
      <c r="P6" s="259"/>
      <c r="Q6" s="259"/>
      <c r="R6" s="259"/>
      <c r="S6" s="134"/>
      <c r="T6" s="134"/>
      <c r="U6" s="134"/>
      <c r="V6" s="134"/>
      <c r="W6" s="134"/>
    </row>
    <row r="7" spans="5:23" ht="9.75" customHeight="1">
      <c r="E7" s="283"/>
      <c r="P7" s="259"/>
      <c r="Q7" s="259"/>
      <c r="R7" s="259"/>
      <c r="S7" s="134"/>
      <c r="T7" s="134"/>
      <c r="U7" s="134"/>
      <c r="V7" s="134"/>
      <c r="W7" s="134"/>
    </row>
    <row r="8" spans="2:23" ht="15" customHeight="1">
      <c r="B8" s="274"/>
      <c r="C8" s="274"/>
      <c r="D8" s="274"/>
      <c r="E8" s="284">
        <v>2019</v>
      </c>
      <c r="F8" s="136"/>
      <c r="I8" s="135">
        <v>2015</v>
      </c>
      <c r="J8" s="284">
        <v>2018</v>
      </c>
      <c r="P8" s="259"/>
      <c r="Q8" s="259"/>
      <c r="R8" s="259"/>
      <c r="S8" s="134"/>
      <c r="T8" s="134"/>
      <c r="U8" s="134"/>
      <c r="V8" s="134"/>
      <c r="W8" s="134"/>
    </row>
    <row r="9" spans="2:23" ht="15" customHeight="1">
      <c r="B9" s="342" t="s">
        <v>59</v>
      </c>
      <c r="C9" s="342"/>
      <c r="D9" s="274"/>
      <c r="E9" s="285"/>
      <c r="F9" s="137"/>
      <c r="I9" s="137"/>
      <c r="J9" s="285"/>
      <c r="P9" s="259"/>
      <c r="Q9" s="259"/>
      <c r="R9" s="259"/>
      <c r="S9" s="134"/>
      <c r="T9" s="134"/>
      <c r="U9" s="134"/>
      <c r="V9" s="134"/>
      <c r="W9" s="134"/>
    </row>
    <row r="10" spans="2:23" ht="15" customHeight="1">
      <c r="B10" s="38"/>
      <c r="C10" s="38" t="s">
        <v>58</v>
      </c>
      <c r="D10" s="38"/>
      <c r="E10" s="286">
        <v>5667</v>
      </c>
      <c r="F10" s="142"/>
      <c r="G10" s="149"/>
      <c r="H10" s="149"/>
      <c r="I10" s="141">
        <v>-1998</v>
      </c>
      <c r="J10" s="286">
        <v>3040</v>
      </c>
      <c r="L10" s="258">
        <v>5666.995099999999</v>
      </c>
      <c r="M10" s="258">
        <f>-L10</f>
        <v>-5666.995099999999</v>
      </c>
      <c r="P10" s="259"/>
      <c r="Q10" s="259"/>
      <c r="R10" s="259"/>
      <c r="S10" s="134"/>
      <c r="T10" s="134"/>
      <c r="U10" s="134"/>
      <c r="V10" s="134"/>
      <c r="W10" s="134"/>
    </row>
    <row r="11" spans="2:23" ht="15" customHeight="1">
      <c r="B11" s="38"/>
      <c r="C11" s="38"/>
      <c r="D11" s="38"/>
      <c r="E11" s="287"/>
      <c r="F11" s="139"/>
      <c r="G11" s="154"/>
      <c r="H11" s="154"/>
      <c r="I11" s="139"/>
      <c r="J11" s="287"/>
      <c r="M11" s="258">
        <f aca="true" t="shared" si="0" ref="M11:M66">-L11</f>
        <v>0</v>
      </c>
      <c r="P11" s="259"/>
      <c r="Q11" s="259"/>
      <c r="R11" s="259"/>
      <c r="S11" s="134"/>
      <c r="T11" s="134"/>
      <c r="U11" s="134"/>
      <c r="V11" s="134"/>
      <c r="W11" s="134"/>
    </row>
    <row r="12" spans="2:23" ht="15" customHeight="1">
      <c r="B12" s="38"/>
      <c r="C12" s="274" t="s">
        <v>57</v>
      </c>
      <c r="D12" s="274"/>
      <c r="E12" s="287"/>
      <c r="F12" s="139"/>
      <c r="G12" s="154"/>
      <c r="H12" s="154"/>
      <c r="I12" s="139"/>
      <c r="J12" s="287"/>
      <c r="M12" s="258">
        <f t="shared" si="0"/>
        <v>0</v>
      </c>
      <c r="P12" s="259"/>
      <c r="Q12" s="259"/>
      <c r="R12" s="259"/>
      <c r="S12" s="134"/>
      <c r="T12" s="134"/>
      <c r="U12" s="134"/>
      <c r="V12" s="134"/>
      <c r="W12" s="134"/>
    </row>
    <row r="13" spans="2:23" ht="15" customHeight="1">
      <c r="B13" s="38"/>
      <c r="C13" s="177" t="s">
        <v>286</v>
      </c>
      <c r="D13" s="140"/>
      <c r="E13" s="287">
        <v>2916</v>
      </c>
      <c r="F13" s="139"/>
      <c r="G13" s="154"/>
      <c r="H13" s="154"/>
      <c r="I13" s="139">
        <v>3593</v>
      </c>
      <c r="J13" s="287">
        <v>2828</v>
      </c>
      <c r="L13" s="258">
        <v>2916.31471</v>
      </c>
      <c r="M13" s="258">
        <f t="shared" si="0"/>
        <v>-2916.31471</v>
      </c>
      <c r="R13" s="259"/>
      <c r="S13" s="134"/>
      <c r="T13" s="134"/>
      <c r="U13" s="134"/>
      <c r="V13" s="134"/>
      <c r="W13" s="134"/>
    </row>
    <row r="14" spans="2:23" ht="15" customHeight="1">
      <c r="B14" s="38"/>
      <c r="C14" s="177" t="s">
        <v>287</v>
      </c>
      <c r="D14" s="140"/>
      <c r="E14" s="287">
        <v>0</v>
      </c>
      <c r="F14" s="139"/>
      <c r="G14" s="154"/>
      <c r="H14" s="154"/>
      <c r="I14" s="139"/>
      <c r="J14" s="287">
        <f>-40</f>
        <v>-40</v>
      </c>
      <c r="K14" s="260"/>
      <c r="L14" s="260">
        <v>0</v>
      </c>
      <c r="M14" s="258">
        <f t="shared" si="0"/>
        <v>0</v>
      </c>
      <c r="N14" s="260"/>
      <c r="O14" s="260"/>
      <c r="P14" s="134"/>
      <c r="Q14" s="259"/>
      <c r="R14" s="259"/>
      <c r="S14" s="134"/>
      <c r="T14" s="134"/>
      <c r="U14" s="134"/>
      <c r="V14" s="134"/>
      <c r="W14" s="134"/>
    </row>
    <row r="15" spans="2:23" ht="15" customHeight="1">
      <c r="B15" s="38"/>
      <c r="C15" s="177" t="s">
        <v>628</v>
      </c>
      <c r="D15" s="140"/>
      <c r="E15" s="287">
        <v>6</v>
      </c>
      <c r="F15" s="139"/>
      <c r="G15" s="154"/>
      <c r="H15" s="154"/>
      <c r="I15" s="139"/>
      <c r="J15" s="287">
        <v>0</v>
      </c>
      <c r="K15" s="260"/>
      <c r="L15" s="260">
        <v>6.57</v>
      </c>
      <c r="M15" s="258">
        <f t="shared" si="0"/>
        <v>-6.57</v>
      </c>
      <c r="N15" s="260"/>
      <c r="O15" s="260"/>
      <c r="P15" s="134">
        <v>6573.44</v>
      </c>
      <c r="Q15" s="259">
        <f>P15/1000</f>
        <v>6.57344</v>
      </c>
      <c r="R15" s="259"/>
      <c r="S15" s="134"/>
      <c r="T15" s="134"/>
      <c r="U15" s="134"/>
      <c r="V15" s="134"/>
      <c r="W15" s="134"/>
    </row>
    <row r="16" spans="2:23" ht="15" customHeight="1">
      <c r="B16" s="38"/>
      <c r="C16" s="177" t="s">
        <v>621</v>
      </c>
      <c r="D16" s="140"/>
      <c r="E16" s="287">
        <v>-61</v>
      </c>
      <c r="F16" s="139"/>
      <c r="G16" s="154"/>
      <c r="H16" s="154"/>
      <c r="I16" s="139"/>
      <c r="J16" s="287">
        <v>0</v>
      </c>
      <c r="K16" s="260"/>
      <c r="L16" s="260">
        <v>-60.86</v>
      </c>
      <c r="M16" s="258">
        <f t="shared" si="0"/>
        <v>60.86</v>
      </c>
      <c r="N16" s="260"/>
      <c r="O16" s="260"/>
      <c r="P16" s="134">
        <v>40859.6</v>
      </c>
      <c r="Q16" s="275">
        <f aca="true" t="shared" si="1" ref="Q16:Q26">P16/1000</f>
        <v>40.8596</v>
      </c>
      <c r="R16" s="259"/>
      <c r="S16" s="134"/>
      <c r="T16" s="134"/>
      <c r="U16" s="134"/>
      <c r="V16" s="134"/>
      <c r="W16" s="134"/>
    </row>
    <row r="17" spans="2:23" ht="15" customHeight="1" hidden="1">
      <c r="B17" s="38"/>
      <c r="C17" s="177"/>
      <c r="D17" s="140"/>
      <c r="E17" s="287"/>
      <c r="F17" s="139"/>
      <c r="G17" s="154"/>
      <c r="H17" s="154"/>
      <c r="I17" s="139"/>
      <c r="J17" s="287"/>
      <c r="K17" s="260"/>
      <c r="L17" s="260"/>
      <c r="M17" s="258">
        <f t="shared" si="0"/>
        <v>0</v>
      </c>
      <c r="N17" s="260"/>
      <c r="O17" s="260"/>
      <c r="P17" s="134">
        <f>20000</f>
        <v>20000</v>
      </c>
      <c r="Q17" s="275">
        <f t="shared" si="1"/>
        <v>20</v>
      </c>
      <c r="R17" s="259"/>
      <c r="S17" s="259"/>
      <c r="T17" s="134"/>
      <c r="U17" s="134"/>
      <c r="V17" s="134"/>
      <c r="W17" s="134"/>
    </row>
    <row r="18" spans="2:23" ht="15" customHeight="1">
      <c r="B18" s="38"/>
      <c r="C18" s="177" t="s">
        <v>625</v>
      </c>
      <c r="D18" s="140"/>
      <c r="E18" s="287">
        <v>-1</v>
      </c>
      <c r="F18" s="139"/>
      <c r="G18" s="154"/>
      <c r="H18" s="154"/>
      <c r="I18" s="139"/>
      <c r="J18" s="287">
        <v>0</v>
      </c>
      <c r="K18" s="260"/>
      <c r="L18" s="260">
        <v>-0.69</v>
      </c>
      <c r="M18" s="258">
        <f t="shared" si="0"/>
        <v>0.69</v>
      </c>
      <c r="N18" s="260"/>
      <c r="O18" s="260"/>
      <c r="P18" s="134">
        <v>694.47</v>
      </c>
      <c r="Q18" s="275">
        <f t="shared" si="1"/>
        <v>0.69447</v>
      </c>
      <c r="R18" s="259"/>
      <c r="S18" s="134"/>
      <c r="T18" s="134"/>
      <c r="U18" s="134"/>
      <c r="V18" s="134"/>
      <c r="W18" s="134"/>
    </row>
    <row r="19" spans="2:23" ht="15" customHeight="1">
      <c r="B19" s="38"/>
      <c r="C19" s="177" t="s">
        <v>627</v>
      </c>
      <c r="D19" s="140"/>
      <c r="E19" s="287">
        <v>-3</v>
      </c>
      <c r="F19" s="139"/>
      <c r="G19" s="154"/>
      <c r="H19" s="154"/>
      <c r="I19" s="139"/>
      <c r="J19" s="287">
        <v>0</v>
      </c>
      <c r="K19" s="260"/>
      <c r="L19" s="260">
        <v>-2.99</v>
      </c>
      <c r="M19" s="258">
        <f t="shared" si="0"/>
        <v>2.99</v>
      </c>
      <c r="N19" s="260"/>
      <c r="O19" s="260"/>
      <c r="P19" s="134">
        <v>2991.8</v>
      </c>
      <c r="Q19" s="275">
        <f t="shared" si="1"/>
        <v>2.9918</v>
      </c>
      <c r="R19" s="259"/>
      <c r="S19" s="134"/>
      <c r="T19" s="134"/>
      <c r="U19" s="134"/>
      <c r="V19" s="134"/>
      <c r="W19" s="134"/>
    </row>
    <row r="20" spans="2:23" ht="15" customHeight="1">
      <c r="B20" s="38"/>
      <c r="C20" s="177" t="s">
        <v>626</v>
      </c>
      <c r="D20" s="140"/>
      <c r="E20" s="287">
        <v>16</v>
      </c>
      <c r="F20" s="139"/>
      <c r="G20" s="154"/>
      <c r="H20" s="154"/>
      <c r="I20" s="139"/>
      <c r="J20" s="287">
        <v>0</v>
      </c>
      <c r="K20" s="260"/>
      <c r="L20" s="260">
        <v>15.94</v>
      </c>
      <c r="M20" s="258">
        <f t="shared" si="0"/>
        <v>-15.94</v>
      </c>
      <c r="N20" s="260"/>
      <c r="O20" s="260"/>
      <c r="P20" s="134">
        <f>15911.85</f>
        <v>15911.85</v>
      </c>
      <c r="Q20" s="275">
        <f t="shared" si="1"/>
        <v>15.911850000000001</v>
      </c>
      <c r="R20" s="259"/>
      <c r="S20" s="134"/>
      <c r="T20" s="134"/>
      <c r="U20" s="134"/>
      <c r="V20" s="134"/>
      <c r="W20" s="134"/>
    </row>
    <row r="21" spans="2:23" ht="15" customHeight="1">
      <c r="B21" s="38"/>
      <c r="C21" s="177" t="s">
        <v>623</v>
      </c>
      <c r="D21" s="140"/>
      <c r="E21" s="287">
        <v>109</v>
      </c>
      <c r="F21" s="139"/>
      <c r="G21" s="154"/>
      <c r="H21" s="154"/>
      <c r="I21" s="139"/>
      <c r="J21" s="287">
        <v>0</v>
      </c>
      <c r="K21" s="260"/>
      <c r="L21" s="260">
        <v>108.81</v>
      </c>
      <c r="M21" s="258">
        <f t="shared" si="0"/>
        <v>-108.81</v>
      </c>
      <c r="N21" s="260"/>
      <c r="O21" s="260"/>
      <c r="P21" s="134">
        <f>26000+17000+18000+21000+20000+6807.09</f>
        <v>108807.09</v>
      </c>
      <c r="Q21" s="275">
        <f t="shared" si="1"/>
        <v>108.80709</v>
      </c>
      <c r="R21" s="259"/>
      <c r="S21" s="134"/>
      <c r="T21" s="134"/>
      <c r="U21" s="134"/>
      <c r="V21" s="134"/>
      <c r="W21" s="134"/>
    </row>
    <row r="22" spans="2:23" ht="15" customHeight="1">
      <c r="B22" s="38"/>
      <c r="C22" s="177" t="s">
        <v>622</v>
      </c>
      <c r="D22" s="140"/>
      <c r="E22" s="287">
        <v>30</v>
      </c>
      <c r="F22" s="139"/>
      <c r="G22" s="154"/>
      <c r="H22" s="154"/>
      <c r="I22" s="139"/>
      <c r="J22" s="287">
        <v>0</v>
      </c>
      <c r="K22" s="260"/>
      <c r="L22" s="260">
        <v>29.63</v>
      </c>
      <c r="M22" s="258">
        <f t="shared" si="0"/>
        <v>-29.63</v>
      </c>
      <c r="N22" s="260"/>
      <c r="O22" s="260"/>
      <c r="P22" s="134">
        <f>126+1200+7200+11052+10056</f>
        <v>29634</v>
      </c>
      <c r="Q22" s="275">
        <f t="shared" si="1"/>
        <v>29.634</v>
      </c>
      <c r="R22" s="259"/>
      <c r="S22" s="134"/>
      <c r="T22" s="134"/>
      <c r="U22" s="134"/>
      <c r="V22" s="134"/>
      <c r="W22" s="134"/>
    </row>
    <row r="23" spans="2:23" ht="15" customHeight="1">
      <c r="B23" s="38"/>
      <c r="C23" s="177" t="s">
        <v>624</v>
      </c>
      <c r="D23" s="140"/>
      <c r="E23" s="287">
        <v>64</v>
      </c>
      <c r="F23" s="139"/>
      <c r="G23" s="154"/>
      <c r="H23" s="154"/>
      <c r="I23" s="139"/>
      <c r="J23" s="287">
        <v>0</v>
      </c>
      <c r="K23" s="260"/>
      <c r="L23" s="260">
        <v>63.71466</v>
      </c>
      <c r="M23" s="258">
        <f t="shared" si="0"/>
        <v>-63.71466</v>
      </c>
      <c r="N23" s="260"/>
      <c r="O23" s="260"/>
      <c r="P23" s="134">
        <v>63714.66</v>
      </c>
      <c r="Q23" s="275">
        <f t="shared" si="1"/>
        <v>63.71466</v>
      </c>
      <c r="R23" s="259"/>
      <c r="S23" s="134"/>
      <c r="T23" s="134"/>
      <c r="U23" s="134"/>
      <c r="V23" s="134"/>
      <c r="W23" s="134"/>
    </row>
    <row r="24" spans="3:17" s="276" customFormat="1" ht="15" customHeight="1">
      <c r="C24" s="177" t="s">
        <v>619</v>
      </c>
      <c r="E24" s="287">
        <v>33</v>
      </c>
      <c r="J24" s="287">
        <v>0</v>
      </c>
      <c r="L24" s="276">
        <v>32.77</v>
      </c>
      <c r="M24" s="258">
        <f t="shared" si="0"/>
        <v>-32.77</v>
      </c>
      <c r="P24" s="134">
        <f>32772.94</f>
        <v>32772.94</v>
      </c>
      <c r="Q24" s="275">
        <f t="shared" si="1"/>
        <v>32.772940000000006</v>
      </c>
    </row>
    <row r="25" spans="2:23" ht="15" customHeight="1">
      <c r="B25" s="38"/>
      <c r="C25" s="177" t="s">
        <v>620</v>
      </c>
      <c r="D25" s="140"/>
      <c r="E25" s="287">
        <v>52</v>
      </c>
      <c r="F25" s="139"/>
      <c r="G25" s="154"/>
      <c r="H25" s="154"/>
      <c r="I25" s="139"/>
      <c r="J25" s="287">
        <v>146</v>
      </c>
      <c r="K25" s="260"/>
      <c r="L25" s="260">
        <v>52.25</v>
      </c>
      <c r="M25" s="258">
        <f t="shared" si="0"/>
        <v>-52.25</v>
      </c>
      <c r="N25" s="260"/>
      <c r="O25" s="260"/>
      <c r="P25" s="134">
        <f>50016.77+2232.63</f>
        <v>52249.399999999994</v>
      </c>
      <c r="Q25" s="259">
        <f t="shared" si="1"/>
        <v>52.249399999999994</v>
      </c>
      <c r="R25" s="259"/>
      <c r="S25" s="134"/>
      <c r="T25" s="134"/>
      <c r="U25" s="134"/>
      <c r="V25" s="134"/>
      <c r="W25" s="134"/>
    </row>
    <row r="26" spans="2:23" ht="15" customHeight="1">
      <c r="B26" s="38"/>
      <c r="C26" s="177" t="s">
        <v>313</v>
      </c>
      <c r="D26" s="140"/>
      <c r="E26" s="287">
        <v>-36</v>
      </c>
      <c r="F26" s="139"/>
      <c r="G26" s="154"/>
      <c r="H26" s="154"/>
      <c r="I26" s="139"/>
      <c r="J26" s="287">
        <v>-38</v>
      </c>
      <c r="K26" s="260"/>
      <c r="L26" s="260">
        <v>-35.71</v>
      </c>
      <c r="M26" s="258">
        <f t="shared" si="0"/>
        <v>35.71</v>
      </c>
      <c r="N26" s="260"/>
      <c r="O26" s="260"/>
      <c r="P26" s="162">
        <f>35706.82</f>
        <v>35706.82</v>
      </c>
      <c r="Q26" s="258">
        <f t="shared" si="1"/>
        <v>35.70682</v>
      </c>
      <c r="R26" s="259"/>
      <c r="S26" s="134"/>
      <c r="T26" s="134"/>
      <c r="U26" s="134"/>
      <c r="V26" s="134"/>
      <c r="W26" s="134"/>
    </row>
    <row r="27" spans="2:23" ht="15" customHeight="1">
      <c r="B27" s="38"/>
      <c r="C27" s="177" t="s">
        <v>316</v>
      </c>
      <c r="D27" s="140"/>
      <c r="E27" s="288">
        <v>0</v>
      </c>
      <c r="F27" s="139"/>
      <c r="G27" s="154"/>
      <c r="H27" s="154"/>
      <c r="I27" s="139"/>
      <c r="J27" s="288">
        <v>-1</v>
      </c>
      <c r="K27" s="261"/>
      <c r="L27" s="261">
        <v>0</v>
      </c>
      <c r="M27" s="258">
        <f t="shared" si="0"/>
        <v>0</v>
      </c>
      <c r="N27" s="261"/>
      <c r="O27" s="261"/>
      <c r="P27" s="162"/>
      <c r="R27" s="259"/>
      <c r="S27" s="134"/>
      <c r="T27" s="134"/>
      <c r="U27" s="134"/>
      <c r="V27" s="134"/>
      <c r="W27" s="134"/>
    </row>
    <row r="28" spans="2:23" ht="15" customHeight="1">
      <c r="B28" s="38"/>
      <c r="C28" s="177" t="s">
        <v>312</v>
      </c>
      <c r="D28" s="140"/>
      <c r="E28" s="287">
        <v>-14</v>
      </c>
      <c r="F28" s="139"/>
      <c r="G28" s="154"/>
      <c r="H28" s="154"/>
      <c r="I28" s="139"/>
      <c r="J28" s="288">
        <f>-20</f>
        <v>-20</v>
      </c>
      <c r="K28" s="262"/>
      <c r="L28" s="262">
        <v>-13.74</v>
      </c>
      <c r="M28" s="258">
        <f t="shared" si="0"/>
        <v>13.74</v>
      </c>
      <c r="N28" s="262"/>
      <c r="O28" s="262"/>
      <c r="P28" s="259">
        <f>13736.87</f>
        <v>13736.87</v>
      </c>
      <c r="Q28" s="259">
        <f>P28/1000</f>
        <v>13.736870000000001</v>
      </c>
      <c r="R28" s="259"/>
      <c r="S28" s="134"/>
      <c r="T28" s="134"/>
      <c r="U28" s="134"/>
      <c r="V28" s="134"/>
      <c r="W28" s="134"/>
    </row>
    <row r="29" spans="2:17" ht="15" customHeight="1">
      <c r="B29" s="38"/>
      <c r="C29" s="177" t="s">
        <v>285</v>
      </c>
      <c r="D29" s="140"/>
      <c r="E29" s="289">
        <v>-5</v>
      </c>
      <c r="F29" s="139"/>
      <c r="G29" s="154"/>
      <c r="H29" s="154"/>
      <c r="I29" s="139"/>
      <c r="J29" s="289">
        <v>-14</v>
      </c>
      <c r="L29" s="258">
        <v>-5.11</v>
      </c>
      <c r="M29" s="258">
        <f t="shared" si="0"/>
        <v>5.11</v>
      </c>
      <c r="P29" s="258">
        <f>5109.07</f>
        <v>5109.07</v>
      </c>
      <c r="Q29" s="258">
        <f>P29/1000</f>
        <v>5.10907</v>
      </c>
    </row>
    <row r="30" spans="2:17" ht="15" customHeight="1">
      <c r="B30" s="38"/>
      <c r="C30" s="177" t="s">
        <v>617</v>
      </c>
      <c r="D30" s="140"/>
      <c r="E30" s="287">
        <v>-86</v>
      </c>
      <c r="F30" s="139"/>
      <c r="G30" s="154"/>
      <c r="H30" s="154"/>
      <c r="I30" s="139"/>
      <c r="J30" s="287">
        <v>-73</v>
      </c>
      <c r="L30" s="258">
        <v>-86.49</v>
      </c>
      <c r="M30" s="258">
        <f t="shared" si="0"/>
        <v>86.49</v>
      </c>
      <c r="P30" s="258">
        <v>86492.2</v>
      </c>
      <c r="Q30" s="258">
        <f>P30/1000</f>
        <v>86.4922</v>
      </c>
    </row>
    <row r="31" spans="2:13" ht="15" customHeight="1">
      <c r="B31" s="38"/>
      <c r="C31" s="38"/>
      <c r="D31" s="38"/>
      <c r="E31" s="290">
        <f>SUM(E13:E30)</f>
        <v>3020</v>
      </c>
      <c r="F31" s="142"/>
      <c r="G31" s="154"/>
      <c r="H31" s="154"/>
      <c r="I31" s="172">
        <v>1318</v>
      </c>
      <c r="J31" s="290">
        <f>SUM(J13:J30)</f>
        <v>2788</v>
      </c>
      <c r="L31" s="258">
        <v>3020.4093700000008</v>
      </c>
      <c r="M31" s="258">
        <f t="shared" si="0"/>
        <v>-3020.4093700000008</v>
      </c>
    </row>
    <row r="32" spans="2:17" ht="15" customHeight="1">
      <c r="B32" s="38"/>
      <c r="C32" s="274" t="s">
        <v>56</v>
      </c>
      <c r="D32" s="274"/>
      <c r="E32" s="287"/>
      <c r="F32" s="141"/>
      <c r="G32" s="154"/>
      <c r="H32" s="154"/>
      <c r="I32" s="139"/>
      <c r="J32" s="287"/>
      <c r="M32" s="258">
        <f t="shared" si="0"/>
        <v>0</v>
      </c>
      <c r="P32" s="258">
        <f>4079898.28+226149.19+0</f>
        <v>4306047.47</v>
      </c>
      <c r="Q32" s="258">
        <f>3930651.67+214883.79+3215.77</f>
        <v>4148751.23</v>
      </c>
    </row>
    <row r="33" spans="2:18" ht="15" customHeight="1">
      <c r="B33" s="38"/>
      <c r="C33" s="140" t="s">
        <v>9</v>
      </c>
      <c r="D33" s="140"/>
      <c r="E33" s="287">
        <v>157</v>
      </c>
      <c r="F33" s="139"/>
      <c r="G33" s="154"/>
      <c r="H33" s="154"/>
      <c r="I33" s="139">
        <v>1062</v>
      </c>
      <c r="J33" s="287">
        <v>842</v>
      </c>
      <c r="L33" s="258">
        <v>157.3</v>
      </c>
      <c r="M33" s="258">
        <f t="shared" si="0"/>
        <v>-157.3</v>
      </c>
      <c r="P33" s="258">
        <f>'Balancete 2019'!I40+'Balancete 2019'!I58+'Balancete 2019'!I69</f>
        <v>4306.0474699999995</v>
      </c>
      <c r="Q33" s="258">
        <f>'Balancete 2019'!L40+'Balancete 2019'!L58+'Balancete 2019'!L69</f>
        <v>4148.75123</v>
      </c>
      <c r="R33" s="258">
        <f>P33-Q33</f>
        <v>157.29623999999967</v>
      </c>
    </row>
    <row r="34" spans="2:18" ht="15" customHeight="1">
      <c r="B34" s="38"/>
      <c r="C34" s="140" t="s">
        <v>15</v>
      </c>
      <c r="D34" s="140"/>
      <c r="E34" s="287">
        <v>108</v>
      </c>
      <c r="F34" s="139"/>
      <c r="G34" s="154"/>
      <c r="H34" s="154"/>
      <c r="I34" s="139"/>
      <c r="J34" s="287">
        <v>25</v>
      </c>
      <c r="L34" s="258">
        <v>107.95998999999999</v>
      </c>
      <c r="M34" s="258">
        <f t="shared" si="0"/>
        <v>-107.95998999999999</v>
      </c>
      <c r="P34" s="258">
        <f>'Balancete 2019'!I73</f>
        <v>407.97548</v>
      </c>
      <c r="Q34" s="258">
        <f>'Balancete 2019'!L73</f>
        <v>300.01549</v>
      </c>
      <c r="R34" s="258">
        <f>P34-Q34</f>
        <v>107.95999</v>
      </c>
    </row>
    <row r="35" spans="2:18" ht="15" customHeight="1">
      <c r="B35" s="38"/>
      <c r="C35" s="140" t="s">
        <v>13</v>
      </c>
      <c r="D35" s="140"/>
      <c r="E35" s="287">
        <v>8</v>
      </c>
      <c r="F35" s="139"/>
      <c r="G35" s="154"/>
      <c r="H35" s="154"/>
      <c r="I35" s="139">
        <v>-24</v>
      </c>
      <c r="J35" s="287">
        <v>-299</v>
      </c>
      <c r="L35" s="258">
        <v>8.235510000000009</v>
      </c>
      <c r="M35" s="258">
        <f t="shared" si="0"/>
        <v>-8.235510000000009</v>
      </c>
      <c r="P35" s="258">
        <f>'Balancete 2019'!I80</f>
        <v>383.15981</v>
      </c>
      <c r="Q35" s="258">
        <f>'Balancete 2019'!L80</f>
        <v>374.9243</v>
      </c>
      <c r="R35" s="258">
        <f>P35-Q35</f>
        <v>8.235509999999977</v>
      </c>
    </row>
    <row r="36" spans="2:13" ht="15" customHeight="1">
      <c r="B36" s="38"/>
      <c r="C36" s="140" t="s">
        <v>19</v>
      </c>
      <c r="D36" s="140"/>
      <c r="E36" s="287">
        <v>0</v>
      </c>
      <c r="F36" s="139"/>
      <c r="G36" s="154"/>
      <c r="H36" s="154"/>
      <c r="I36" s="139"/>
      <c r="J36" s="287">
        <v>2</v>
      </c>
      <c r="L36" s="258">
        <v>0</v>
      </c>
      <c r="M36" s="258">
        <f t="shared" si="0"/>
        <v>0</v>
      </c>
    </row>
    <row r="37" spans="2:18" ht="15" customHeight="1">
      <c r="B37" s="38"/>
      <c r="C37" s="140" t="s">
        <v>618</v>
      </c>
      <c r="D37" s="140"/>
      <c r="E37" s="287">
        <v>-5</v>
      </c>
      <c r="F37" s="139"/>
      <c r="G37" s="154"/>
      <c r="H37" s="154"/>
      <c r="I37" s="139"/>
      <c r="J37" s="287">
        <v>0</v>
      </c>
      <c r="L37" s="258">
        <v>-4.57</v>
      </c>
      <c r="M37" s="258">
        <f t="shared" si="0"/>
        <v>4.57</v>
      </c>
      <c r="P37" s="258">
        <f>-'Balancete 2019'!I197</f>
        <v>7.3787</v>
      </c>
      <c r="Q37" s="258">
        <f>-'Balancete 2019'!L197</f>
        <v>11.952309999999999</v>
      </c>
      <c r="R37" s="258">
        <f>P37-Q37</f>
        <v>-4.573609999999999</v>
      </c>
    </row>
    <row r="38" spans="2:13" ht="15.75">
      <c r="B38" s="38"/>
      <c r="C38" s="38"/>
      <c r="D38" s="38"/>
      <c r="E38" s="287"/>
      <c r="F38" s="139"/>
      <c r="G38" s="154"/>
      <c r="H38" s="154"/>
      <c r="I38" s="139"/>
      <c r="J38" s="287"/>
      <c r="M38" s="258">
        <f t="shared" si="0"/>
        <v>0</v>
      </c>
    </row>
    <row r="39" spans="2:13" ht="15" customHeight="1">
      <c r="B39" s="38"/>
      <c r="C39" s="274" t="s">
        <v>55</v>
      </c>
      <c r="D39" s="274"/>
      <c r="E39" s="287"/>
      <c r="F39" s="139"/>
      <c r="G39" s="154"/>
      <c r="H39" s="154"/>
      <c r="I39" s="139"/>
      <c r="J39" s="287"/>
      <c r="M39" s="258">
        <f t="shared" si="0"/>
        <v>0</v>
      </c>
    </row>
    <row r="40" spans="2:18" ht="15" customHeight="1">
      <c r="B40" s="38"/>
      <c r="C40" s="140" t="s">
        <v>60</v>
      </c>
      <c r="D40" s="140"/>
      <c r="E40" s="287">
        <v>2324</v>
      </c>
      <c r="F40" s="139"/>
      <c r="G40" s="154"/>
      <c r="H40" s="154"/>
      <c r="I40" s="139">
        <v>-236</v>
      </c>
      <c r="J40" s="287">
        <v>373</v>
      </c>
      <c r="L40" s="258">
        <v>2324.16005</v>
      </c>
      <c r="M40" s="258">
        <f t="shared" si="0"/>
        <v>-2324.16005</v>
      </c>
      <c r="P40" s="258">
        <f>-'Balancete 2019'!I133</f>
        <v>1964.4863400000002</v>
      </c>
      <c r="Q40" s="258">
        <f>-'Balancete 2019'!L133</f>
        <v>4288.45472</v>
      </c>
      <c r="R40" s="258">
        <f>Q40-P40</f>
        <v>2323.9683799999993</v>
      </c>
    </row>
    <row r="41" spans="2:18" ht="15" customHeight="1">
      <c r="B41" s="38"/>
      <c r="C41" s="140" t="s">
        <v>305</v>
      </c>
      <c r="D41" s="140"/>
      <c r="E41" s="287">
        <v>-57</v>
      </c>
      <c r="F41" s="139"/>
      <c r="G41" s="154"/>
      <c r="H41" s="154"/>
      <c r="I41" s="139">
        <v>2546</v>
      </c>
      <c r="J41" s="287">
        <v>-795</v>
      </c>
      <c r="L41" s="258">
        <v>-56.5763599999996</v>
      </c>
      <c r="M41" s="258">
        <f t="shared" si="0"/>
        <v>56.5763599999996</v>
      </c>
      <c r="P41" s="258">
        <f>-'Balancete 2019'!I142-'Balancete 2019'!I168-'Balancete 2019'!I194</f>
        <v>3289.0025299999998</v>
      </c>
      <c r="Q41" s="258">
        <f>-'Balancete 2019'!L142-'Balancete 2019'!L168-'Balancete 2019'!L194</f>
        <v>3232.42617</v>
      </c>
      <c r="R41" s="258">
        <f>Q41-P41</f>
        <v>-56.57635999999957</v>
      </c>
    </row>
    <row r="42" spans="2:18" ht="15" customHeight="1">
      <c r="B42" s="38"/>
      <c r="C42" s="140" t="s">
        <v>14</v>
      </c>
      <c r="D42" s="140"/>
      <c r="E42" s="287">
        <v>97</v>
      </c>
      <c r="F42" s="139"/>
      <c r="G42" s="154"/>
      <c r="H42" s="154"/>
      <c r="I42" s="139">
        <v>-205</v>
      </c>
      <c r="J42" s="287">
        <v>185</v>
      </c>
      <c r="L42" s="258">
        <v>96.97372000000001</v>
      </c>
      <c r="M42" s="258">
        <f t="shared" si="0"/>
        <v>-96.97372000000001</v>
      </c>
      <c r="P42" s="258">
        <f>-'Balancete 2019'!I181</f>
        <v>211.25635</v>
      </c>
      <c r="Q42" s="258">
        <f>-'Balancete 2019'!L181</f>
        <v>308.23007</v>
      </c>
      <c r="R42" s="258">
        <f>Q42-P42</f>
        <v>96.97372000000001</v>
      </c>
    </row>
    <row r="43" spans="2:13" ht="9" customHeight="1">
      <c r="B43" s="38"/>
      <c r="C43" s="140"/>
      <c r="D43" s="140"/>
      <c r="E43" s="287"/>
      <c r="F43" s="139"/>
      <c r="G43" s="154"/>
      <c r="H43" s="154"/>
      <c r="I43" s="139"/>
      <c r="J43" s="287"/>
      <c r="M43" s="258">
        <f t="shared" si="0"/>
        <v>0</v>
      </c>
    </row>
    <row r="44" spans="2:17" ht="15" customHeight="1">
      <c r="B44" s="342" t="s">
        <v>54</v>
      </c>
      <c r="C44" s="342"/>
      <c r="D44" s="274"/>
      <c r="E44" s="291">
        <f>SUM(E40:E42)+SUM(E33:E37)+E31+E10</f>
        <v>11319</v>
      </c>
      <c r="F44" s="139"/>
      <c r="G44" s="154"/>
      <c r="H44" s="154"/>
      <c r="I44" s="154"/>
      <c r="J44" s="291">
        <f>SUM(J40:J42)+SUM(J33:J36)+J31+J10</f>
        <v>6161</v>
      </c>
      <c r="L44" s="258">
        <v>11320.88738</v>
      </c>
      <c r="M44" s="258">
        <f t="shared" si="0"/>
        <v>-11320.88738</v>
      </c>
      <c r="P44" s="258">
        <f>2072255.01+771126.28+445621.24</f>
        <v>3289002.5300000003</v>
      </c>
      <c r="Q44" s="258">
        <f>2008408.69+817945.12+406072.36</f>
        <v>3232426.17</v>
      </c>
    </row>
    <row r="45" spans="2:13" ht="13.5" customHeight="1">
      <c r="B45" s="38"/>
      <c r="C45" s="38"/>
      <c r="D45" s="38"/>
      <c r="E45" s="292"/>
      <c r="F45" s="139"/>
      <c r="G45" s="154"/>
      <c r="H45" s="154"/>
      <c r="I45" s="154"/>
      <c r="J45" s="292"/>
      <c r="M45" s="258">
        <f t="shared" si="0"/>
        <v>0</v>
      </c>
    </row>
    <row r="46" spans="2:13" ht="15" customHeight="1">
      <c r="B46" s="342" t="s">
        <v>53</v>
      </c>
      <c r="C46" s="342"/>
      <c r="D46" s="274"/>
      <c r="E46" s="287"/>
      <c r="F46" s="139"/>
      <c r="G46" s="154"/>
      <c r="H46" s="154"/>
      <c r="I46" s="154"/>
      <c r="J46" s="287"/>
      <c r="M46" s="258">
        <f t="shared" si="0"/>
        <v>0</v>
      </c>
    </row>
    <row r="47" spans="2:17" ht="15" customHeight="1">
      <c r="B47" s="274"/>
      <c r="C47" s="38" t="s">
        <v>71</v>
      </c>
      <c r="D47" s="38"/>
      <c r="E47" s="287">
        <v>-5978</v>
      </c>
      <c r="F47" s="139"/>
      <c r="G47" s="154"/>
      <c r="H47" s="154"/>
      <c r="I47" s="154"/>
      <c r="J47" s="287">
        <f>-2973</f>
        <v>-2973</v>
      </c>
      <c r="K47" s="260"/>
      <c r="L47" s="260">
        <v>-5978.65105</v>
      </c>
      <c r="M47" s="258">
        <f t="shared" si="0"/>
        <v>5978.65105</v>
      </c>
      <c r="N47" s="260"/>
      <c r="O47" s="260"/>
      <c r="Q47" s="72">
        <f>'Balanço Patrimonial'!E31-'Balanço Patrimonial'!G31</f>
        <v>3062</v>
      </c>
    </row>
    <row r="48" spans="2:17" ht="15" customHeight="1">
      <c r="B48" s="274"/>
      <c r="C48" s="38" t="s">
        <v>52</v>
      </c>
      <c r="D48" s="38"/>
      <c r="E48" s="287">
        <v>0</v>
      </c>
      <c r="F48" s="139"/>
      <c r="G48" s="154"/>
      <c r="H48" s="154"/>
      <c r="I48" s="154"/>
      <c r="J48" s="287">
        <v>0</v>
      </c>
      <c r="K48" s="260"/>
      <c r="L48" s="260">
        <v>0</v>
      </c>
      <c r="M48" s="258">
        <f t="shared" si="0"/>
        <v>0</v>
      </c>
      <c r="N48" s="260"/>
      <c r="O48" s="260"/>
      <c r="Q48" s="258">
        <f>E13</f>
        <v>2916</v>
      </c>
    </row>
    <row r="49" spans="2:17" ht="15" customHeight="1">
      <c r="B49" s="274"/>
      <c r="C49" s="38" t="s">
        <v>72</v>
      </c>
      <c r="D49" s="38"/>
      <c r="E49" s="293">
        <v>0</v>
      </c>
      <c r="F49" s="139"/>
      <c r="G49" s="154"/>
      <c r="H49" s="154"/>
      <c r="I49" s="154"/>
      <c r="J49" s="293">
        <v>0</v>
      </c>
      <c r="K49" s="263"/>
      <c r="L49" s="263">
        <v>0</v>
      </c>
      <c r="M49" s="258">
        <f t="shared" si="0"/>
        <v>0</v>
      </c>
      <c r="N49" s="263"/>
      <c r="O49" s="263"/>
      <c r="P49" s="263"/>
      <c r="Q49" s="258">
        <f>SUM(Q47:Q48)</f>
        <v>5978</v>
      </c>
    </row>
    <row r="50" spans="2:13" ht="15" customHeight="1">
      <c r="B50" s="274"/>
      <c r="C50" s="38" t="s">
        <v>73</v>
      </c>
      <c r="D50" s="38"/>
      <c r="E50" s="289">
        <v>0</v>
      </c>
      <c r="F50" s="141"/>
      <c r="G50" s="154"/>
      <c r="H50" s="154"/>
      <c r="I50" s="154"/>
      <c r="J50" s="289">
        <v>0</v>
      </c>
      <c r="L50" s="258">
        <v>0</v>
      </c>
      <c r="M50" s="258">
        <f t="shared" si="0"/>
        <v>0</v>
      </c>
    </row>
    <row r="51" spans="2:13" ht="15" customHeight="1">
      <c r="B51" s="274"/>
      <c r="C51" s="38" t="s">
        <v>290</v>
      </c>
      <c r="D51" s="38"/>
      <c r="E51" s="294">
        <v>-113</v>
      </c>
      <c r="F51" s="139"/>
      <c r="G51" s="154"/>
      <c r="H51" s="154"/>
      <c r="I51" s="154"/>
      <c r="J51" s="294">
        <v>0</v>
      </c>
      <c r="L51" s="258">
        <v>-114.37131</v>
      </c>
      <c r="M51" s="258">
        <f t="shared" si="0"/>
        <v>114.37131</v>
      </c>
    </row>
    <row r="52" spans="2:13" ht="15" customHeight="1">
      <c r="B52" s="274"/>
      <c r="C52" s="38" t="s">
        <v>276</v>
      </c>
      <c r="D52" s="38"/>
      <c r="E52" s="294">
        <v>0</v>
      </c>
      <c r="F52" s="139"/>
      <c r="G52" s="154"/>
      <c r="H52" s="154"/>
      <c r="I52" s="154"/>
      <c r="J52" s="294">
        <v>150</v>
      </c>
      <c r="L52" s="258">
        <v>0</v>
      </c>
      <c r="M52" s="258">
        <f t="shared" si="0"/>
        <v>0</v>
      </c>
    </row>
    <row r="53" spans="2:13" ht="15" customHeight="1">
      <c r="B53" s="274" t="s">
        <v>51</v>
      </c>
      <c r="C53" s="38"/>
      <c r="D53" s="38"/>
      <c r="E53" s="291">
        <f>SUM(E47:E52)</f>
        <v>-6091</v>
      </c>
      <c r="F53" s="139"/>
      <c r="G53" s="154"/>
      <c r="H53" s="154"/>
      <c r="I53" s="154"/>
      <c r="J53" s="291">
        <f>SUM(J47:J52)</f>
        <v>-2823</v>
      </c>
      <c r="L53" s="258">
        <v>-6093.022360000001</v>
      </c>
      <c r="M53" s="258">
        <f t="shared" si="0"/>
        <v>6093.022360000001</v>
      </c>
    </row>
    <row r="54" spans="2:13" ht="15.75">
      <c r="B54" s="274"/>
      <c r="C54" s="274"/>
      <c r="D54" s="274"/>
      <c r="E54" s="286"/>
      <c r="F54" s="139"/>
      <c r="G54" s="154"/>
      <c r="H54" s="154"/>
      <c r="I54" s="154"/>
      <c r="J54" s="286"/>
      <c r="M54" s="258">
        <f t="shared" si="0"/>
        <v>0</v>
      </c>
    </row>
    <row r="55" spans="2:13" ht="15" customHeight="1">
      <c r="B55" s="274"/>
      <c r="C55" s="38"/>
      <c r="D55" s="38"/>
      <c r="E55" s="292"/>
      <c r="F55" s="139"/>
      <c r="G55" s="154"/>
      <c r="H55" s="154"/>
      <c r="I55" s="154"/>
      <c r="J55" s="292"/>
      <c r="M55" s="258">
        <f t="shared" si="0"/>
        <v>0</v>
      </c>
    </row>
    <row r="56" spans="2:13" ht="15" customHeight="1" thickBot="1">
      <c r="B56" s="274" t="s">
        <v>50</v>
      </c>
      <c r="C56" s="38"/>
      <c r="D56" s="38"/>
      <c r="E56" s="295">
        <f>E53+E44</f>
        <v>5228</v>
      </c>
      <c r="F56" s="139"/>
      <c r="G56" s="154"/>
      <c r="H56" s="154"/>
      <c r="I56" s="154"/>
      <c r="J56" s="295">
        <f>J53+J44</f>
        <v>3338</v>
      </c>
      <c r="L56" s="258">
        <v>5227.865019999999</v>
      </c>
      <c r="M56" s="258">
        <f t="shared" si="0"/>
        <v>-5227.865019999999</v>
      </c>
    </row>
    <row r="57" spans="2:13" ht="14.25" customHeight="1" thickTop="1">
      <c r="B57" s="38"/>
      <c r="C57" s="274"/>
      <c r="D57" s="274"/>
      <c r="E57" s="287"/>
      <c r="F57" s="139"/>
      <c r="G57" s="154"/>
      <c r="H57" s="154"/>
      <c r="I57" s="154"/>
      <c r="J57" s="287"/>
      <c r="M57" s="258">
        <f t="shared" si="0"/>
        <v>0</v>
      </c>
    </row>
    <row r="58" spans="2:13" ht="12.75" customHeight="1">
      <c r="B58" s="274" t="s">
        <v>49</v>
      </c>
      <c r="C58" s="136"/>
      <c r="D58" s="136"/>
      <c r="E58" s="296"/>
      <c r="F58" s="139"/>
      <c r="G58" s="154"/>
      <c r="H58" s="154"/>
      <c r="I58" s="154"/>
      <c r="J58" s="296"/>
      <c r="M58" s="258">
        <f t="shared" si="0"/>
        <v>0</v>
      </c>
    </row>
    <row r="59" spans="2:13" ht="3.75" customHeight="1">
      <c r="B59" s="274"/>
      <c r="C59" s="144"/>
      <c r="D59" s="144"/>
      <c r="E59" s="287"/>
      <c r="F59" s="139"/>
      <c r="G59" s="154"/>
      <c r="H59" s="154"/>
      <c r="I59" s="154"/>
      <c r="J59" s="287"/>
      <c r="M59" s="258">
        <f t="shared" si="0"/>
        <v>0</v>
      </c>
    </row>
    <row r="60" spans="2:13" ht="15" customHeight="1">
      <c r="B60" s="274" t="s">
        <v>48</v>
      </c>
      <c r="C60" s="136"/>
      <c r="D60" s="136"/>
      <c r="E60" s="292"/>
      <c r="F60" s="138"/>
      <c r="G60" s="154"/>
      <c r="H60" s="154"/>
      <c r="I60" s="154"/>
      <c r="J60" s="292"/>
      <c r="M60" s="258">
        <f t="shared" si="0"/>
        <v>0</v>
      </c>
    </row>
    <row r="61" spans="2:13" ht="15" customHeight="1">
      <c r="B61" s="274"/>
      <c r="C61" s="136"/>
      <c r="D61" s="136"/>
      <c r="E61" s="292"/>
      <c r="F61" s="138"/>
      <c r="G61" s="154"/>
      <c r="H61" s="154"/>
      <c r="I61" s="154"/>
      <c r="J61" s="292"/>
      <c r="M61" s="258">
        <f t="shared" si="0"/>
        <v>0</v>
      </c>
    </row>
    <row r="62" spans="2:13" ht="15" customHeight="1">
      <c r="B62" s="38"/>
      <c r="C62" s="38" t="s">
        <v>47</v>
      </c>
      <c r="E62" s="297">
        <v>9949</v>
      </c>
      <c r="F62" s="138"/>
      <c r="G62" s="154"/>
      <c r="H62" s="154"/>
      <c r="I62" s="154"/>
      <c r="J62" s="287">
        <v>6611</v>
      </c>
      <c r="L62" s="258">
        <v>9949</v>
      </c>
      <c r="M62" s="258">
        <f t="shared" si="0"/>
        <v>-9949</v>
      </c>
    </row>
    <row r="63" spans="2:13" ht="15.75">
      <c r="B63" s="38"/>
      <c r="C63" s="38" t="s">
        <v>46</v>
      </c>
      <c r="D63" s="38"/>
      <c r="E63" s="297">
        <f>15176873.18/1000</f>
        <v>15176.87318</v>
      </c>
      <c r="F63" s="142"/>
      <c r="G63" s="154"/>
      <c r="H63" s="154"/>
      <c r="I63" s="154"/>
      <c r="J63" s="297">
        <v>9949</v>
      </c>
      <c r="L63" s="258">
        <v>15176.87318</v>
      </c>
      <c r="M63" s="258">
        <f t="shared" si="0"/>
        <v>-15176.87318</v>
      </c>
    </row>
    <row r="64" spans="2:16" ht="15.75">
      <c r="B64" s="38"/>
      <c r="D64" s="38"/>
      <c r="E64" s="297"/>
      <c r="F64" s="138"/>
      <c r="G64" s="154"/>
      <c r="H64" s="154"/>
      <c r="I64" s="154"/>
      <c r="J64" s="297"/>
      <c r="M64" s="258">
        <f t="shared" si="0"/>
        <v>0</v>
      </c>
      <c r="P64" s="147"/>
    </row>
    <row r="65" spans="2:17" ht="15" customHeight="1" thickBot="1">
      <c r="B65" s="274" t="s">
        <v>45</v>
      </c>
      <c r="C65" s="38"/>
      <c r="D65" s="38"/>
      <c r="E65" s="295">
        <f>E63-E62</f>
        <v>5227.8731800000005</v>
      </c>
      <c r="F65" s="138"/>
      <c r="G65" s="154"/>
      <c r="H65" s="154"/>
      <c r="I65" s="154"/>
      <c r="J65" s="295">
        <f>J63-J62</f>
        <v>3338</v>
      </c>
      <c r="L65" s="258">
        <v>5227.8731800000005</v>
      </c>
      <c r="M65" s="258">
        <f t="shared" si="0"/>
        <v>-5227.8731800000005</v>
      </c>
      <c r="P65" s="147">
        <f>E65-E56</f>
        <v>-0.12681999999949767</v>
      </c>
      <c r="Q65" s="258">
        <f>P65*1000</f>
        <v>-126.81999999949767</v>
      </c>
    </row>
    <row r="66" spans="3:16" ht="16.5" thickTop="1">
      <c r="C66" s="274"/>
      <c r="D66" s="274"/>
      <c r="E66" s="294"/>
      <c r="F66" s="145"/>
      <c r="M66" s="258">
        <f t="shared" si="0"/>
        <v>0</v>
      </c>
      <c r="P66" s="147"/>
    </row>
    <row r="67" spans="5:17" ht="15" customHeight="1">
      <c r="E67" s="298"/>
      <c r="F67" s="146"/>
      <c r="G67" s="147"/>
      <c r="H67" s="146"/>
      <c r="P67" s="147">
        <f>P65/2</f>
        <v>-0.06340999999974883</v>
      </c>
      <c r="Q67" s="258">
        <f>P67*1000</f>
        <v>-63.409999999748834</v>
      </c>
    </row>
    <row r="68" spans="2:18" s="56" customFormat="1" ht="15" customHeight="1">
      <c r="B68" s="36"/>
      <c r="E68" s="299"/>
      <c r="I68" s="35"/>
      <c r="J68" s="305" t="s">
        <v>329</v>
      </c>
      <c r="K68" s="264"/>
      <c r="L68" s="264"/>
      <c r="M68" s="264"/>
      <c r="N68" s="264"/>
      <c r="O68" s="264"/>
      <c r="P68" s="307"/>
      <c r="Q68" s="266"/>
      <c r="R68" s="266"/>
    </row>
    <row r="69" spans="2:18" s="56" customFormat="1" ht="15" customHeight="1">
      <c r="B69" s="36"/>
      <c r="E69" s="299"/>
      <c r="I69" s="35"/>
      <c r="J69" s="305"/>
      <c r="K69" s="264"/>
      <c r="L69" s="264"/>
      <c r="M69" s="264"/>
      <c r="N69" s="264"/>
      <c r="O69" s="264"/>
      <c r="P69" s="265"/>
      <c r="Q69" s="266"/>
      <c r="R69" s="266"/>
    </row>
    <row r="70" spans="2:18" s="56" customFormat="1" ht="15" customHeight="1">
      <c r="B70" s="36"/>
      <c r="C70" s="161" t="s">
        <v>308</v>
      </c>
      <c r="E70" s="299"/>
      <c r="I70" s="35"/>
      <c r="J70" s="305"/>
      <c r="K70" s="264"/>
      <c r="L70" s="264"/>
      <c r="M70" s="264"/>
      <c r="N70" s="264"/>
      <c r="O70" s="264"/>
      <c r="P70" s="265"/>
      <c r="Q70" s="266"/>
      <c r="R70" s="266"/>
    </row>
    <row r="71" spans="2:18" s="56" customFormat="1" ht="15" customHeight="1">
      <c r="B71" s="36"/>
      <c r="C71" s="161"/>
      <c r="E71" s="299"/>
      <c r="I71" s="35"/>
      <c r="J71" s="305"/>
      <c r="K71" s="264"/>
      <c r="L71" s="264"/>
      <c r="M71" s="264"/>
      <c r="N71" s="264"/>
      <c r="O71" s="264"/>
      <c r="P71" s="265"/>
      <c r="Q71" s="266"/>
      <c r="R71" s="266"/>
    </row>
    <row r="72" spans="2:18" s="148" customFormat="1" ht="15" customHeight="1">
      <c r="B72" s="133"/>
      <c r="C72" s="77" t="s">
        <v>303</v>
      </c>
      <c r="D72" s="77"/>
      <c r="E72" s="109"/>
      <c r="F72" s="77" t="s">
        <v>310</v>
      </c>
      <c r="H72" s="78"/>
      <c r="I72" s="78"/>
      <c r="J72" s="174"/>
      <c r="K72" s="267"/>
      <c r="L72" s="267"/>
      <c r="M72" s="267"/>
      <c r="N72" s="267"/>
      <c r="O72" s="267"/>
      <c r="P72" s="259"/>
      <c r="R72" s="261"/>
    </row>
    <row r="73" spans="1:18" s="148" customFormat="1" ht="15" customHeight="1">
      <c r="A73" s="80"/>
      <c r="B73" s="133"/>
      <c r="C73" s="77" t="s">
        <v>0</v>
      </c>
      <c r="D73" s="77"/>
      <c r="E73" s="109"/>
      <c r="F73" s="77" t="s">
        <v>292</v>
      </c>
      <c r="H73" s="77"/>
      <c r="I73" s="77"/>
      <c r="J73" s="175"/>
      <c r="K73" s="268"/>
      <c r="L73" s="268"/>
      <c r="M73" s="268"/>
      <c r="N73" s="268"/>
      <c r="O73" s="268"/>
      <c r="P73" s="259"/>
      <c r="Q73" s="261"/>
      <c r="R73" s="261"/>
    </row>
    <row r="74" spans="1:18" s="148" customFormat="1" ht="15" customHeight="1">
      <c r="A74" s="136"/>
      <c r="B74" s="133"/>
      <c r="C74" s="77" t="s">
        <v>293</v>
      </c>
      <c r="D74" s="77"/>
      <c r="E74" s="109"/>
      <c r="F74" s="77" t="s">
        <v>294</v>
      </c>
      <c r="H74" s="77"/>
      <c r="I74" s="77"/>
      <c r="J74" s="175"/>
      <c r="K74" s="268"/>
      <c r="L74" s="268"/>
      <c r="M74" s="268"/>
      <c r="N74" s="268"/>
      <c r="O74" s="268"/>
      <c r="P74" s="259"/>
      <c r="Q74" s="261"/>
      <c r="R74" s="261"/>
    </row>
    <row r="75" spans="1:18" s="148" customFormat="1" ht="15" customHeight="1">
      <c r="A75" s="136"/>
      <c r="B75" s="133"/>
      <c r="C75" s="77" t="s">
        <v>295</v>
      </c>
      <c r="D75" s="77"/>
      <c r="E75" s="109"/>
      <c r="F75" s="77" t="s">
        <v>296</v>
      </c>
      <c r="H75" s="77"/>
      <c r="I75" s="77"/>
      <c r="J75" s="175"/>
      <c r="K75" s="268"/>
      <c r="L75" s="268"/>
      <c r="M75" s="268"/>
      <c r="N75" s="268"/>
      <c r="O75" s="268"/>
      <c r="P75" s="259"/>
      <c r="Q75" s="261"/>
      <c r="R75" s="261"/>
    </row>
    <row r="76" spans="1:18" s="148" customFormat="1" ht="15" customHeight="1">
      <c r="A76" s="136"/>
      <c r="B76" s="133"/>
      <c r="C76" s="77" t="s">
        <v>297</v>
      </c>
      <c r="D76" s="77"/>
      <c r="E76" s="109"/>
      <c r="F76" s="77" t="s">
        <v>298</v>
      </c>
      <c r="H76" s="77"/>
      <c r="I76" s="77"/>
      <c r="J76" s="175"/>
      <c r="K76" s="268"/>
      <c r="L76" s="268"/>
      <c r="M76" s="268"/>
      <c r="N76" s="268"/>
      <c r="O76" s="268"/>
      <c r="P76" s="259"/>
      <c r="Q76" s="261"/>
      <c r="R76" s="261"/>
    </row>
    <row r="77" spans="1:18" s="148" customFormat="1" ht="15" customHeight="1">
      <c r="A77" s="136"/>
      <c r="B77" s="133"/>
      <c r="C77" s="109"/>
      <c r="D77" s="109"/>
      <c r="E77" s="109"/>
      <c r="F77" s="110"/>
      <c r="G77" s="109"/>
      <c r="H77" s="109"/>
      <c r="I77" s="109"/>
      <c r="J77" s="176"/>
      <c r="K77" s="269"/>
      <c r="L77" s="269"/>
      <c r="M77" s="269"/>
      <c r="N77" s="269"/>
      <c r="O77" s="269"/>
      <c r="P77" s="259"/>
      <c r="Q77" s="261"/>
      <c r="R77" s="261"/>
    </row>
    <row r="78" spans="1:18" s="148" customFormat="1" ht="15" customHeight="1">
      <c r="A78" s="173"/>
      <c r="B78" s="136"/>
      <c r="D78" s="77" t="s">
        <v>302</v>
      </c>
      <c r="E78" s="300"/>
      <c r="F78" s="77"/>
      <c r="G78" s="77"/>
      <c r="H78" s="77"/>
      <c r="I78" s="77"/>
      <c r="J78" s="176"/>
      <c r="K78" s="269"/>
      <c r="L78" s="269"/>
      <c r="M78" s="269"/>
      <c r="N78" s="269"/>
      <c r="O78" s="269"/>
      <c r="P78" s="259"/>
      <c r="Q78" s="261"/>
      <c r="R78" s="261"/>
    </row>
    <row r="79" spans="1:18" s="148" customFormat="1" ht="15" customHeight="1">
      <c r="A79" s="173"/>
      <c r="B79" s="136"/>
      <c r="D79" s="77" t="s">
        <v>299</v>
      </c>
      <c r="E79" s="300"/>
      <c r="F79" s="77"/>
      <c r="G79" s="77"/>
      <c r="H79" s="77"/>
      <c r="I79" s="77"/>
      <c r="J79" s="175"/>
      <c r="K79" s="269"/>
      <c r="L79" s="269"/>
      <c r="M79" s="269"/>
      <c r="N79" s="269"/>
      <c r="O79" s="269"/>
      <c r="P79" s="259"/>
      <c r="Q79" s="261"/>
      <c r="R79" s="261"/>
    </row>
    <row r="80" spans="1:18" s="148" customFormat="1" ht="15" customHeight="1">
      <c r="A80" s="80"/>
      <c r="B80" s="136"/>
      <c r="D80" s="77" t="s">
        <v>300</v>
      </c>
      <c r="E80" s="300"/>
      <c r="F80" s="77"/>
      <c r="G80" s="77"/>
      <c r="H80" s="77"/>
      <c r="I80" s="77"/>
      <c r="J80" s="175"/>
      <c r="K80" s="269"/>
      <c r="L80" s="269"/>
      <c r="M80" s="269"/>
      <c r="N80" s="269"/>
      <c r="O80" s="269"/>
      <c r="P80" s="259"/>
      <c r="Q80" s="261"/>
      <c r="R80" s="261"/>
    </row>
    <row r="81" spans="2:23" s="148" customFormat="1" ht="15" customHeight="1">
      <c r="B81" s="133"/>
      <c r="D81" s="77" t="s">
        <v>301</v>
      </c>
      <c r="E81" s="300"/>
      <c r="F81" s="77"/>
      <c r="G81" s="77"/>
      <c r="H81" s="77"/>
      <c r="I81" s="77"/>
      <c r="J81" s="175"/>
      <c r="K81" s="331">
        <v>4</v>
      </c>
      <c r="L81" s="270"/>
      <c r="M81" s="270"/>
      <c r="N81" s="270"/>
      <c r="O81" s="270"/>
      <c r="P81" s="259"/>
      <c r="Q81" s="259"/>
      <c r="R81" s="259"/>
      <c r="S81" s="134"/>
      <c r="T81" s="134"/>
      <c r="U81" s="134"/>
      <c r="V81" s="134"/>
      <c r="W81" s="134"/>
    </row>
    <row r="82" spans="2:23" s="148" customFormat="1" ht="15" customHeight="1">
      <c r="B82" s="133"/>
      <c r="C82" s="109"/>
      <c r="D82" s="109"/>
      <c r="E82" s="109"/>
      <c r="F82" s="110"/>
      <c r="G82" s="109"/>
      <c r="H82" s="109"/>
      <c r="I82" s="109"/>
      <c r="J82" s="176"/>
      <c r="K82" s="269"/>
      <c r="L82" s="269"/>
      <c r="M82" s="269"/>
      <c r="N82" s="269"/>
      <c r="O82" s="269"/>
      <c r="P82" s="259"/>
      <c r="Q82" s="259"/>
      <c r="R82" s="259"/>
      <c r="S82" s="134"/>
      <c r="T82" s="134"/>
      <c r="U82" s="134"/>
      <c r="V82" s="134"/>
      <c r="W82" s="134"/>
    </row>
    <row r="83" spans="2:23" s="148" customFormat="1" ht="15" customHeight="1">
      <c r="B83" s="133"/>
      <c r="C83" s="109"/>
      <c r="D83" s="109"/>
      <c r="E83" s="109"/>
      <c r="F83" s="110"/>
      <c r="G83" s="109"/>
      <c r="H83" s="109"/>
      <c r="I83" s="109"/>
      <c r="J83" s="176"/>
      <c r="K83" s="269"/>
      <c r="L83" s="269"/>
      <c r="M83" s="269"/>
      <c r="N83" s="269"/>
      <c r="O83" s="269"/>
      <c r="P83" s="259"/>
      <c r="Q83" s="259"/>
      <c r="R83" s="259"/>
      <c r="S83" s="134"/>
      <c r="T83" s="134"/>
      <c r="U83" s="134"/>
      <c r="V83" s="134"/>
      <c r="W83" s="134"/>
    </row>
    <row r="84" spans="2:23" s="148" customFormat="1" ht="15" customHeight="1">
      <c r="B84" s="133"/>
      <c r="D84" s="36"/>
      <c r="E84" s="109"/>
      <c r="F84" s="110"/>
      <c r="G84" s="109"/>
      <c r="H84" s="109"/>
      <c r="I84" s="109"/>
      <c r="J84" s="176"/>
      <c r="K84" s="269"/>
      <c r="L84" s="269"/>
      <c r="M84" s="269"/>
      <c r="N84" s="269"/>
      <c r="O84" s="269"/>
      <c r="P84" s="259"/>
      <c r="Q84" s="259"/>
      <c r="R84" s="259"/>
      <c r="S84" s="134"/>
      <c r="T84" s="134"/>
      <c r="U84" s="134"/>
      <c r="V84" s="134"/>
      <c r="W84" s="134"/>
    </row>
    <row r="85" spans="2:23" s="148" customFormat="1" ht="15" customHeight="1">
      <c r="B85" s="133"/>
      <c r="E85" s="301"/>
      <c r="G85" s="150"/>
      <c r="J85" s="306"/>
      <c r="K85" s="259"/>
      <c r="L85" s="259"/>
      <c r="M85" s="259"/>
      <c r="N85" s="259"/>
      <c r="O85" s="259"/>
      <c r="P85" s="259"/>
      <c r="Q85" s="259"/>
      <c r="R85" s="259"/>
      <c r="S85" s="134"/>
      <c r="T85" s="134"/>
      <c r="U85" s="134"/>
      <c r="V85" s="134"/>
      <c r="W85" s="134"/>
    </row>
    <row r="86" spans="2:23" s="148" customFormat="1" ht="15" customHeight="1">
      <c r="B86" s="133"/>
      <c r="E86" s="301"/>
      <c r="G86" s="150"/>
      <c r="J86" s="306"/>
      <c r="K86" s="259"/>
      <c r="L86" s="259"/>
      <c r="M86" s="259"/>
      <c r="N86" s="259"/>
      <c r="O86" s="259"/>
      <c r="P86" s="259"/>
      <c r="Q86" s="259"/>
      <c r="R86" s="259"/>
      <c r="S86" s="134"/>
      <c r="T86" s="134"/>
      <c r="U86" s="134"/>
      <c r="V86" s="134"/>
      <c r="W86" s="134"/>
    </row>
    <row r="87" spans="2:23" s="148" customFormat="1" ht="15" customHeight="1">
      <c r="B87" s="133"/>
      <c r="E87" s="301"/>
      <c r="G87" s="150"/>
      <c r="J87" s="306"/>
      <c r="K87" s="259"/>
      <c r="L87" s="259"/>
      <c r="M87" s="259"/>
      <c r="N87" s="259"/>
      <c r="O87" s="259"/>
      <c r="P87" s="259"/>
      <c r="Q87" s="259"/>
      <c r="R87" s="259"/>
      <c r="S87" s="134"/>
      <c r="T87" s="134"/>
      <c r="U87" s="134"/>
      <c r="V87" s="134"/>
      <c r="W87" s="134"/>
    </row>
    <row r="88" spans="2:23" s="148" customFormat="1" ht="15" customHeight="1">
      <c r="B88" s="133"/>
      <c r="C88" s="150"/>
      <c r="D88" s="150"/>
      <c r="E88" s="301"/>
      <c r="G88" s="150"/>
      <c r="J88" s="306"/>
      <c r="K88" s="259"/>
      <c r="L88" s="259"/>
      <c r="M88" s="259"/>
      <c r="N88" s="259"/>
      <c r="O88" s="259"/>
      <c r="P88" s="259"/>
      <c r="Q88" s="259"/>
      <c r="R88" s="259"/>
      <c r="S88" s="134"/>
      <c r="T88" s="134"/>
      <c r="U88" s="134"/>
      <c r="V88" s="134"/>
      <c r="W88" s="134"/>
    </row>
    <row r="89" spans="2:23" s="148" customFormat="1" ht="15" customHeight="1">
      <c r="B89" s="133"/>
      <c r="E89" s="301"/>
      <c r="G89" s="150"/>
      <c r="J89" s="306"/>
      <c r="K89" s="259"/>
      <c r="L89" s="259"/>
      <c r="M89" s="259"/>
      <c r="N89" s="259"/>
      <c r="O89" s="259"/>
      <c r="P89" s="259"/>
      <c r="Q89" s="259"/>
      <c r="R89" s="259"/>
      <c r="S89" s="134"/>
      <c r="T89" s="134"/>
      <c r="U89" s="134"/>
      <c r="V89" s="134"/>
      <c r="W89" s="134"/>
    </row>
    <row r="90" spans="2:23" s="148" customFormat="1" ht="15.75">
      <c r="B90" s="133"/>
      <c r="E90" s="301"/>
      <c r="G90" s="150"/>
      <c r="J90" s="306"/>
      <c r="K90" s="259"/>
      <c r="L90" s="259"/>
      <c r="M90" s="259"/>
      <c r="N90" s="259"/>
      <c r="O90" s="259"/>
      <c r="P90" s="259"/>
      <c r="Q90" s="259"/>
      <c r="R90" s="259"/>
      <c r="S90" s="134"/>
      <c r="T90" s="134"/>
      <c r="U90" s="134"/>
      <c r="V90" s="134"/>
      <c r="W90" s="134"/>
    </row>
    <row r="91" spans="2:23" s="148" customFormat="1" ht="15.75">
      <c r="B91" s="133"/>
      <c r="E91" s="301"/>
      <c r="G91" s="150"/>
      <c r="J91" s="306"/>
      <c r="K91" s="259"/>
      <c r="L91" s="259"/>
      <c r="M91" s="259"/>
      <c r="N91" s="259"/>
      <c r="O91" s="259"/>
      <c r="P91" s="259"/>
      <c r="Q91" s="259"/>
      <c r="R91" s="259"/>
      <c r="S91" s="134"/>
      <c r="T91" s="134"/>
      <c r="U91" s="134"/>
      <c r="V91" s="134"/>
      <c r="W91" s="134"/>
    </row>
    <row r="92" spans="2:23" s="148" customFormat="1" ht="15.75">
      <c r="B92" s="133"/>
      <c r="E92" s="302"/>
      <c r="G92" s="152"/>
      <c r="J92" s="306"/>
      <c r="K92" s="259"/>
      <c r="L92" s="259"/>
      <c r="M92" s="259"/>
      <c r="N92" s="259"/>
      <c r="O92" s="259"/>
      <c r="P92" s="259"/>
      <c r="Q92" s="259"/>
      <c r="R92" s="259"/>
      <c r="S92" s="134"/>
      <c r="T92" s="134"/>
      <c r="U92" s="134"/>
      <c r="V92" s="134"/>
      <c r="W92" s="134"/>
    </row>
    <row r="93" spans="2:23" s="148" customFormat="1" ht="15.75">
      <c r="B93" s="133"/>
      <c r="E93" s="301"/>
      <c r="G93" s="150"/>
      <c r="J93" s="306"/>
      <c r="K93" s="259"/>
      <c r="L93" s="259"/>
      <c r="M93" s="259"/>
      <c r="N93" s="259"/>
      <c r="O93" s="259"/>
      <c r="P93" s="259"/>
      <c r="Q93" s="259"/>
      <c r="R93" s="259"/>
      <c r="S93" s="134"/>
      <c r="T93" s="134"/>
      <c r="U93" s="134"/>
      <c r="V93" s="134"/>
      <c r="W93" s="134"/>
    </row>
    <row r="94" spans="2:23" s="148" customFormat="1" ht="15.75">
      <c r="B94" s="133"/>
      <c r="E94" s="301"/>
      <c r="G94" s="150"/>
      <c r="J94" s="306"/>
      <c r="K94" s="259"/>
      <c r="L94" s="259"/>
      <c r="M94" s="259"/>
      <c r="N94" s="259"/>
      <c r="O94" s="259"/>
      <c r="P94" s="259"/>
      <c r="Q94" s="259"/>
      <c r="R94" s="259"/>
      <c r="S94" s="134"/>
      <c r="T94" s="134"/>
      <c r="U94" s="134"/>
      <c r="V94" s="134"/>
      <c r="W94" s="134"/>
    </row>
    <row r="95" spans="2:23" s="148" customFormat="1" ht="15.75">
      <c r="B95" s="133"/>
      <c r="E95" s="301"/>
      <c r="G95" s="150"/>
      <c r="J95" s="306"/>
      <c r="K95" s="259"/>
      <c r="L95" s="259"/>
      <c r="M95" s="259"/>
      <c r="N95" s="259"/>
      <c r="O95" s="259"/>
      <c r="P95" s="259"/>
      <c r="Q95" s="259"/>
      <c r="R95" s="259"/>
      <c r="S95" s="134"/>
      <c r="T95" s="134"/>
      <c r="U95" s="134"/>
      <c r="V95" s="134"/>
      <c r="W95" s="134"/>
    </row>
    <row r="96" spans="3:4" ht="15.75">
      <c r="C96" s="148"/>
      <c r="D96" s="148"/>
    </row>
  </sheetData>
  <sheetProtection/>
  <mergeCells count="3">
    <mergeCell ref="B9:C9"/>
    <mergeCell ref="B44:C44"/>
    <mergeCell ref="B46:C46"/>
  </mergeCells>
  <printOptions horizontalCentered="1"/>
  <pageMargins left="0.2362204724409449" right="0.2362204724409449" top="0.5905511811023623" bottom="0" header="0.31496062992125984" footer="0.31496062992125984"/>
  <pageSetup horizontalDpi="600" verticalDpi="600" orientation="portrait" paperSize="9" scale="65" r:id="rId1"/>
  <headerFooter>
    <oddHeader>&amp;C
</oddHeader>
  </headerFooter>
  <rowBreaks count="1" manualBreakCount="1">
    <brk id="82" min="1" max="10" man="1"/>
  </rowBreaks>
  <ignoredErrors>
    <ignoredError sqref="J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8:O39"/>
  <sheetViews>
    <sheetView showGridLines="0" zoomScale="90" zoomScaleNormal="90" workbookViewId="0" topLeftCell="A1">
      <selection activeCell="L31" sqref="L31"/>
    </sheetView>
  </sheetViews>
  <sheetFormatPr defaultColWidth="9.140625" defaultRowHeight="15"/>
  <cols>
    <col min="1" max="1" width="1.28515625" style="189" customWidth="1"/>
    <col min="2" max="2" width="35.57421875" style="189" customWidth="1"/>
    <col min="3" max="3" width="1.7109375" style="189" customWidth="1"/>
    <col min="4" max="4" width="8.8515625" style="188" customWidth="1"/>
    <col min="5" max="5" width="16.7109375" style="189" customWidth="1"/>
    <col min="6" max="6" width="2.57421875" style="189" customWidth="1"/>
    <col min="7" max="7" width="14.8515625" style="189" customWidth="1"/>
    <col min="8" max="8" width="1.7109375" style="190" customWidth="1"/>
    <col min="9" max="9" width="0.9921875" style="189" customWidth="1"/>
    <col min="10" max="10" width="10.140625" style="189" bestFit="1" customWidth="1"/>
    <col min="11" max="11" width="10.28125" style="189" bestFit="1" customWidth="1"/>
    <col min="12" max="16384" width="9.140625" style="189" customWidth="1"/>
  </cols>
  <sheetData>
    <row r="8" spans="2:3" ht="12.75">
      <c r="B8" s="187" t="s">
        <v>0</v>
      </c>
      <c r="C8" s="188"/>
    </row>
    <row r="9" spans="2:3" ht="12.75">
      <c r="B9" s="187"/>
      <c r="C9" s="188"/>
    </row>
    <row r="10" spans="2:3" ht="12.75">
      <c r="B10" s="187" t="s">
        <v>317</v>
      </c>
      <c r="C10" s="188"/>
    </row>
    <row r="11" spans="2:3" ht="12.75">
      <c r="B11" s="187" t="s">
        <v>324</v>
      </c>
      <c r="C11" s="188"/>
    </row>
    <row r="12" spans="2:3" ht="12.75">
      <c r="B12" s="187" t="s">
        <v>1</v>
      </c>
      <c r="C12" s="188"/>
    </row>
    <row r="13" spans="2:8" ht="12.75">
      <c r="B13" s="191"/>
      <c r="C13" s="191"/>
      <c r="D13" s="192"/>
      <c r="E13" s="193"/>
      <c r="G13" s="193"/>
      <c r="H13" s="194"/>
    </row>
    <row r="14" spans="2:8" ht="12.75">
      <c r="B14" s="191"/>
      <c r="C14" s="191"/>
      <c r="D14" s="197"/>
      <c r="E14" s="195">
        <v>2019</v>
      </c>
      <c r="F14" s="204"/>
      <c r="G14" s="195">
        <v>2018</v>
      </c>
      <c r="H14" s="197"/>
    </row>
    <row r="15" spans="2:8" ht="12.75">
      <c r="B15" s="191"/>
      <c r="C15" s="191"/>
      <c r="D15" s="197"/>
      <c r="E15" s="198"/>
      <c r="F15" s="196"/>
      <c r="G15" s="198"/>
      <c r="H15" s="197"/>
    </row>
    <row r="16" spans="2:8" ht="12.75">
      <c r="B16" s="191" t="s">
        <v>318</v>
      </c>
      <c r="C16" s="191"/>
      <c r="D16" s="197"/>
      <c r="E16" s="277">
        <v>5666.995099999999</v>
      </c>
      <c r="F16" s="196"/>
      <c r="G16" s="199">
        <v>3040</v>
      </c>
      <c r="H16" s="197"/>
    </row>
    <row r="17" spans="2:8" ht="14.25">
      <c r="B17" s="200" t="s">
        <v>28</v>
      </c>
      <c r="C17" s="191"/>
      <c r="D17" s="197"/>
      <c r="E17" s="277">
        <v>1844.01495</v>
      </c>
      <c r="F17" s="196"/>
      <c r="G17" s="199">
        <v>1861</v>
      </c>
      <c r="H17" s="197"/>
    </row>
    <row r="18" spans="2:8" ht="14.25">
      <c r="B18" s="200" t="s">
        <v>319</v>
      </c>
      <c r="C18" s="191"/>
      <c r="D18" s="197"/>
      <c r="E18" s="278">
        <f>-95.79401</f>
        <v>-95.79401</v>
      </c>
      <c r="F18" s="202"/>
      <c r="G18" s="201">
        <v>-306</v>
      </c>
      <c r="H18" s="197"/>
    </row>
    <row r="19" spans="2:8" ht="12.75">
      <c r="B19" s="191"/>
      <c r="C19" s="191"/>
      <c r="D19" s="197"/>
      <c r="E19" s="198"/>
      <c r="F19" s="196"/>
      <c r="G19" s="198"/>
      <c r="H19" s="197"/>
    </row>
    <row r="20" spans="2:8" ht="13.5" thickBot="1">
      <c r="B20" s="191" t="s">
        <v>320</v>
      </c>
      <c r="C20" s="191"/>
      <c r="D20" s="197"/>
      <c r="E20" s="279">
        <f>SUM(E16:E18)</f>
        <v>7415.216039999999</v>
      </c>
      <c r="F20" s="204"/>
      <c r="G20" s="205">
        <f>SUM(G16:G18)</f>
        <v>4595</v>
      </c>
      <c r="H20" s="197"/>
    </row>
    <row r="21" ht="13.5" thickTop="1"/>
    <row r="22" spans="2:15" ht="15.75">
      <c r="B22" s="36"/>
      <c r="C22" s="112"/>
      <c r="D22" s="46"/>
      <c r="E22" s="112"/>
      <c r="F22" s="35"/>
      <c r="G22" s="112"/>
      <c r="H22" s="35" t="s">
        <v>327</v>
      </c>
      <c r="I22" s="112"/>
      <c r="J22" s="35"/>
      <c r="K22" s="112"/>
      <c r="L22" s="35"/>
      <c r="M22" s="112"/>
      <c r="N22" s="35"/>
      <c r="O22" s="46"/>
    </row>
    <row r="23" spans="2:15" ht="15.75">
      <c r="B23" s="36"/>
      <c r="C23" s="112"/>
      <c r="D23" s="46"/>
      <c r="E23" s="35"/>
      <c r="F23" s="35"/>
      <c r="G23" s="112"/>
      <c r="H23" s="35"/>
      <c r="I23" s="112"/>
      <c r="J23" s="35"/>
      <c r="K23" s="112"/>
      <c r="L23" s="35"/>
      <c r="M23" s="112"/>
      <c r="N23" s="35"/>
      <c r="O23" s="46"/>
    </row>
    <row r="24" spans="3:15" ht="15.75">
      <c r="C24" s="206" t="s">
        <v>308</v>
      </c>
      <c r="D24" s="189"/>
      <c r="E24" s="36"/>
      <c r="F24" s="36"/>
      <c r="G24" s="112"/>
      <c r="H24" s="36"/>
      <c r="I24" s="36"/>
      <c r="J24" s="36"/>
      <c r="K24" s="112"/>
      <c r="L24" s="36"/>
      <c r="M24" s="112"/>
      <c r="N24" s="36"/>
      <c r="O24" s="36"/>
    </row>
    <row r="25" spans="2:15" ht="15.75">
      <c r="B25" s="36"/>
      <c r="C25" s="112"/>
      <c r="D25" s="46"/>
      <c r="E25" s="36"/>
      <c r="F25" s="36"/>
      <c r="G25" s="112"/>
      <c r="H25" s="36"/>
      <c r="I25" s="112"/>
      <c r="J25" s="36"/>
      <c r="K25" s="112"/>
      <c r="L25" s="36"/>
      <c r="M25" s="112"/>
      <c r="N25" s="36"/>
      <c r="O25" s="36"/>
    </row>
    <row r="26" spans="2:15" ht="15.75">
      <c r="B26" s="36"/>
      <c r="C26" s="112"/>
      <c r="D26" s="46"/>
      <c r="E26" s="36"/>
      <c r="F26" s="36"/>
      <c r="G26" s="112"/>
      <c r="H26" s="36"/>
      <c r="I26" s="112"/>
      <c r="J26" s="36"/>
      <c r="K26" s="112"/>
      <c r="L26" s="36"/>
      <c r="M26" s="112"/>
      <c r="N26" s="46"/>
      <c r="O26" s="46"/>
    </row>
    <row r="27" spans="2:15" ht="15.75">
      <c r="B27" s="36"/>
      <c r="C27" s="112"/>
      <c r="D27" s="46"/>
      <c r="E27" s="36"/>
      <c r="F27" s="36"/>
      <c r="G27" s="112"/>
      <c r="H27" s="36"/>
      <c r="I27" s="112"/>
      <c r="J27" s="36"/>
      <c r="K27" s="112"/>
      <c r="L27" s="36"/>
      <c r="M27" s="112"/>
      <c r="N27" s="36"/>
      <c r="O27" s="36"/>
    </row>
    <row r="28" spans="2:15" ht="15.75">
      <c r="B28" s="77" t="s">
        <v>303</v>
      </c>
      <c r="C28" s="112"/>
      <c r="D28" s="77"/>
      <c r="E28" s="36"/>
      <c r="F28" s="36"/>
      <c r="G28" s="203" t="s">
        <v>321</v>
      </c>
      <c r="H28" s="36"/>
      <c r="I28" s="112"/>
      <c r="J28" s="36"/>
      <c r="K28" s="112"/>
      <c r="L28" s="36"/>
      <c r="M28" s="112"/>
      <c r="N28" s="36"/>
      <c r="O28" s="36"/>
    </row>
    <row r="29" spans="2:15" ht="15.75">
      <c r="B29" s="77" t="s">
        <v>0</v>
      </c>
      <c r="C29" s="112"/>
      <c r="D29" s="77"/>
      <c r="E29" s="70"/>
      <c r="F29" s="36"/>
      <c r="G29" s="77" t="s">
        <v>292</v>
      </c>
      <c r="H29" s="36"/>
      <c r="I29" s="112"/>
      <c r="J29" s="78"/>
      <c r="K29" s="112"/>
      <c r="L29" s="46"/>
      <c r="M29" s="112"/>
      <c r="N29" s="36"/>
      <c r="O29" s="36"/>
    </row>
    <row r="30" spans="2:15" ht="15.75">
      <c r="B30" s="77" t="s">
        <v>293</v>
      </c>
      <c r="C30" s="112"/>
      <c r="D30" s="77"/>
      <c r="E30" s="36"/>
      <c r="F30" s="36"/>
      <c r="G30" s="77" t="s">
        <v>294</v>
      </c>
      <c r="H30" s="36"/>
      <c r="I30" s="112"/>
      <c r="J30" s="77"/>
      <c r="K30" s="112"/>
      <c r="L30" s="36"/>
      <c r="M30" s="112"/>
      <c r="N30" s="36"/>
      <c r="O30" s="36"/>
    </row>
    <row r="31" spans="2:15" ht="15.75">
      <c r="B31" s="77" t="s">
        <v>295</v>
      </c>
      <c r="C31" s="112"/>
      <c r="D31" s="77"/>
      <c r="E31" s="80"/>
      <c r="F31" s="36"/>
      <c r="G31" s="77" t="s">
        <v>296</v>
      </c>
      <c r="H31" s="36"/>
      <c r="I31" s="112"/>
      <c r="J31" s="77"/>
      <c r="K31" s="112"/>
      <c r="L31" s="36"/>
      <c r="M31" s="112"/>
      <c r="N31" s="36"/>
      <c r="O31" s="36"/>
    </row>
    <row r="32" spans="2:15" ht="15.75">
      <c r="B32" s="77" t="s">
        <v>297</v>
      </c>
      <c r="C32" s="112"/>
      <c r="D32" s="77"/>
      <c r="E32" s="80"/>
      <c r="F32" s="36"/>
      <c r="G32" s="77" t="s">
        <v>298</v>
      </c>
      <c r="H32" s="36"/>
      <c r="I32" s="112"/>
      <c r="J32" s="77"/>
      <c r="K32" s="112"/>
      <c r="L32" s="36"/>
      <c r="M32" s="112"/>
      <c r="N32" s="36"/>
      <c r="O32" s="36"/>
    </row>
    <row r="33" spans="2:15" ht="15.75">
      <c r="B33" s="36"/>
      <c r="C33" s="112"/>
      <c r="D33" s="80"/>
      <c r="E33" s="80"/>
      <c r="F33" s="80"/>
      <c r="G33" s="112"/>
      <c r="H33" s="36"/>
      <c r="I33" s="112"/>
      <c r="J33" s="77"/>
      <c r="K33" s="112"/>
      <c r="L33" s="36"/>
      <c r="M33" s="112"/>
      <c r="N33" s="36"/>
      <c r="O33" s="36"/>
    </row>
    <row r="34" spans="2:15" ht="15.75">
      <c r="B34" s="36"/>
      <c r="C34" s="112"/>
      <c r="D34" s="46"/>
      <c r="E34" s="56"/>
      <c r="F34" s="56"/>
      <c r="G34" s="112"/>
      <c r="H34" s="81"/>
      <c r="I34" s="112"/>
      <c r="J34" s="112"/>
      <c r="K34" s="112"/>
      <c r="L34" s="112"/>
      <c r="M34" s="112"/>
      <c r="N34" s="112"/>
      <c r="O34" s="112"/>
    </row>
    <row r="35" spans="2:15" ht="15.75">
      <c r="B35" s="36"/>
      <c r="C35" s="112"/>
      <c r="D35" s="77" t="s">
        <v>302</v>
      </c>
      <c r="E35" s="56"/>
      <c r="F35" s="56"/>
      <c r="G35" s="112"/>
      <c r="H35" s="81"/>
      <c r="I35" s="112"/>
      <c r="J35" s="112"/>
      <c r="K35" s="112"/>
      <c r="L35" s="112"/>
      <c r="M35" s="112"/>
      <c r="N35" s="112"/>
      <c r="O35" s="112"/>
    </row>
    <row r="36" spans="2:15" ht="21">
      <c r="B36" s="36"/>
      <c r="C36" s="112"/>
      <c r="D36" s="77" t="s">
        <v>299</v>
      </c>
      <c r="E36" s="36"/>
      <c r="F36" s="36"/>
      <c r="G36" s="112"/>
      <c r="H36" s="112"/>
      <c r="I36" s="112"/>
      <c r="J36" s="112"/>
      <c r="K36" s="112"/>
      <c r="L36" s="112"/>
      <c r="M36" s="112"/>
      <c r="N36" s="332"/>
      <c r="O36" s="81"/>
    </row>
    <row r="37" spans="2:15" ht="15.75">
      <c r="B37" s="36"/>
      <c r="C37" s="112"/>
      <c r="D37" s="77" t="s">
        <v>300</v>
      </c>
      <c r="E37" s="36"/>
      <c r="F37" s="36"/>
      <c r="G37" s="77"/>
      <c r="H37" s="36"/>
      <c r="I37" s="112"/>
      <c r="J37" s="36"/>
      <c r="K37" s="112"/>
      <c r="L37" s="36"/>
      <c r="M37" s="112"/>
      <c r="N37" s="36"/>
      <c r="O37" s="36"/>
    </row>
    <row r="38" spans="2:15" ht="21">
      <c r="B38" s="36"/>
      <c r="C38" s="112"/>
      <c r="D38" s="77" t="s">
        <v>301</v>
      </c>
      <c r="E38" s="77"/>
      <c r="F38" s="36"/>
      <c r="G38" s="77"/>
      <c r="H38" s="36"/>
      <c r="I38" s="112"/>
      <c r="K38" s="329"/>
      <c r="L38" s="36"/>
      <c r="M38" s="112"/>
      <c r="N38" s="36"/>
      <c r="O38" s="329">
        <v>5</v>
      </c>
    </row>
    <row r="39" spans="2:15" ht="15.75">
      <c r="B39" s="36"/>
      <c r="C39" s="112"/>
      <c r="D39" s="36"/>
      <c r="E39" s="36"/>
      <c r="F39" s="36"/>
      <c r="G39" s="77"/>
      <c r="H39" s="36"/>
      <c r="I39" s="112"/>
      <c r="J39" s="36"/>
      <c r="K39" s="112"/>
      <c r="L39" s="36"/>
      <c r="M39" s="112"/>
      <c r="N39" s="36"/>
      <c r="O39" s="3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scale="86" r:id="rId1"/>
  <headerFooter>
    <oddFooter>&amp;R&amp;16 &amp;11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13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7.00390625" style="21" customWidth="1"/>
    <col min="2" max="2" width="17.00390625" style="21" customWidth="1"/>
    <col min="3" max="3" width="25.140625" style="21" customWidth="1"/>
    <col min="4" max="4" width="15.421875" style="21" bestFit="1" customWidth="1"/>
    <col min="5" max="5" width="6.421875" style="21" customWidth="1"/>
    <col min="6" max="6" width="17.00390625" style="21" bestFit="1" customWidth="1"/>
    <col min="7" max="7" width="6.421875" style="21" customWidth="1"/>
    <col min="8" max="8" width="13.8515625" style="21" customWidth="1"/>
    <col min="9" max="9" width="15.7109375" style="21" customWidth="1"/>
    <col min="10" max="10" width="12.57421875" style="21" customWidth="1"/>
    <col min="11" max="11" width="9.140625" style="21" customWidth="1"/>
    <col min="12" max="12" width="13.28125" style="32" bestFit="1" customWidth="1"/>
    <col min="13" max="16384" width="9.140625" style="21" customWidth="1"/>
  </cols>
  <sheetData>
    <row r="2" spans="2:10" ht="15">
      <c r="B2" s="22"/>
      <c r="C2" s="22"/>
      <c r="D2" s="29">
        <v>2019</v>
      </c>
      <c r="E2" s="30"/>
      <c r="F2" s="29">
        <v>2018</v>
      </c>
      <c r="G2" s="30"/>
      <c r="I2" s="27">
        <v>2016</v>
      </c>
      <c r="J2" s="28"/>
    </row>
    <row r="3" spans="2:10" ht="15">
      <c r="B3" s="3"/>
      <c r="C3" s="6"/>
      <c r="D3" s="6"/>
      <c r="E3" s="23"/>
      <c r="F3" s="6"/>
      <c r="G3" s="23"/>
      <c r="I3" s="17"/>
      <c r="J3" s="2"/>
    </row>
    <row r="4" spans="2:10" ht="15">
      <c r="B4" s="4" t="s">
        <v>281</v>
      </c>
      <c r="C4" s="7" t="s">
        <v>284</v>
      </c>
      <c r="D4" s="20">
        <f>'Balancete 2019'!G5</f>
        <v>20000564.2</v>
      </c>
      <c r="E4" s="24"/>
      <c r="F4" s="20">
        <f>'Balancete 2019'!D5</f>
        <v>15046495.92</v>
      </c>
      <c r="G4" s="24"/>
      <c r="I4" s="12">
        <v>9706</v>
      </c>
      <c r="J4" s="1"/>
    </row>
    <row r="5" spans="2:10" ht="15">
      <c r="B5" s="4"/>
      <c r="C5" s="8" t="s">
        <v>282</v>
      </c>
      <c r="D5" s="19">
        <f>-'Balancete 2019'!G131</f>
        <v>7829110.96</v>
      </c>
      <c r="E5" s="18">
        <f>D4/D5</f>
        <v>2.554640533540222</v>
      </c>
      <c r="F5" s="19">
        <f>-'Balancete 2019'!D131</f>
        <v>5464745.22</v>
      </c>
      <c r="G5" s="280">
        <f>F4/F5</f>
        <v>2.7533755581014994</v>
      </c>
      <c r="I5" s="13">
        <v>3245</v>
      </c>
      <c r="J5" s="2">
        <v>2.99</v>
      </c>
    </row>
    <row r="6" spans="2:10" ht="15">
      <c r="B6" s="5"/>
      <c r="C6" s="9"/>
      <c r="D6" s="9"/>
      <c r="E6" s="25"/>
      <c r="F6" s="9"/>
      <c r="G6" s="25"/>
      <c r="I6" s="9"/>
      <c r="J6" s="2"/>
    </row>
    <row r="7" spans="2:10" ht="15">
      <c r="B7" s="3"/>
      <c r="C7" s="26"/>
      <c r="D7" s="26"/>
      <c r="E7" s="23"/>
      <c r="F7" s="26"/>
      <c r="G7" s="23"/>
      <c r="I7" s="14"/>
      <c r="J7" s="3"/>
    </row>
    <row r="8" spans="2:10" ht="15">
      <c r="B8" s="4" t="s">
        <v>283</v>
      </c>
      <c r="C8" s="34" t="s">
        <v>289</v>
      </c>
      <c r="D8" s="208">
        <f>'Balancete 2019'!G6</f>
        <v>15176873.18</v>
      </c>
      <c r="E8" s="18">
        <f>D8/D9</f>
        <v>1.938518084306216</v>
      </c>
      <c r="F8" s="208">
        <f>'Balancete 2019'!D6</f>
        <v>9949313.16</v>
      </c>
      <c r="G8" s="18">
        <f>F8/F9</f>
        <v>1.8206362345287894</v>
      </c>
      <c r="I8" s="15">
        <v>5301</v>
      </c>
      <c r="J8" s="4"/>
    </row>
    <row r="9" spans="2:10" ht="15">
      <c r="B9" s="4"/>
      <c r="C9" s="8" t="s">
        <v>171</v>
      </c>
      <c r="D9" s="185">
        <f>-'Balancete 2019'!G131</f>
        <v>7829110.96</v>
      </c>
      <c r="E9" s="24"/>
      <c r="F9" s="185">
        <f>-'Balancete 2019'!D131</f>
        <v>5464745.22</v>
      </c>
      <c r="G9" s="24"/>
      <c r="I9" s="16">
        <v>3245</v>
      </c>
      <c r="J9" s="10">
        <v>1.63</v>
      </c>
    </row>
    <row r="10" spans="2:10" ht="15">
      <c r="B10" s="5"/>
      <c r="C10" s="11"/>
      <c r="D10" s="11"/>
      <c r="E10" s="25"/>
      <c r="F10" s="11"/>
      <c r="G10" s="25"/>
      <c r="I10" s="11"/>
      <c r="J10" s="11"/>
    </row>
    <row r="12" ht="15">
      <c r="D12" s="33"/>
    </row>
    <row r="13" ht="15">
      <c r="D13" s="31"/>
    </row>
  </sheetData>
  <sheetProtection/>
  <printOptions/>
  <pageMargins left="0.511811024" right="0.511811024" top="0.787401575" bottom="0.787401575" header="0.31496062" footer="0.31496062"/>
  <pageSetup orientation="landscape" paperSize="9" scale="97" r:id="rId1"/>
  <ignoredErrors>
    <ignoredError sqref="F5 F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37.00390625" style="0" customWidth="1"/>
    <col min="2" max="2" width="11.7109375" style="0" customWidth="1"/>
    <col min="3" max="3" width="3.421875" style="0" customWidth="1"/>
    <col min="4" max="4" width="11.7109375" style="0" customWidth="1"/>
  </cols>
  <sheetData>
    <row r="1" spans="1:4" ht="15.75" thickBot="1">
      <c r="A1" s="333"/>
      <c r="B1" s="334">
        <v>2019</v>
      </c>
      <c r="C1" s="333"/>
      <c r="D1" s="334">
        <v>2018</v>
      </c>
    </row>
    <row r="2" spans="1:4" ht="15">
      <c r="A2" s="333"/>
      <c r="B2" s="335"/>
      <c r="C2" s="333"/>
      <c r="D2" s="335"/>
    </row>
    <row r="3" spans="1:4" ht="15.75" thickBot="1">
      <c r="A3" s="336" t="s">
        <v>272</v>
      </c>
      <c r="B3" s="337">
        <v>96395.54027</v>
      </c>
      <c r="C3" s="333"/>
      <c r="D3" s="337">
        <v>88379</v>
      </c>
    </row>
    <row r="4" spans="1:4" ht="15.75" thickBot="1">
      <c r="A4" s="338" t="s">
        <v>1104</v>
      </c>
      <c r="B4" s="339">
        <v>96395.54027</v>
      </c>
      <c r="C4" s="333"/>
      <c r="D4" s="339">
        <v>88379</v>
      </c>
    </row>
    <row r="5" spans="1:4" ht="15.75" thickTop="1">
      <c r="A5" s="335"/>
      <c r="B5" s="333"/>
      <c r="C5" s="333"/>
      <c r="D5" s="333"/>
    </row>
    <row r="6" spans="1:4" ht="15">
      <c r="A6" s="336" t="s">
        <v>1105</v>
      </c>
      <c r="B6" s="337">
        <v>7841</v>
      </c>
      <c r="C6" s="333"/>
      <c r="D6" s="337">
        <v>5472</v>
      </c>
    </row>
    <row r="7" spans="1:4" ht="15.75" thickBot="1">
      <c r="A7" s="336" t="s">
        <v>1106</v>
      </c>
      <c r="B7" s="337">
        <v>88555</v>
      </c>
      <c r="C7" s="333"/>
      <c r="D7" s="337">
        <v>82907</v>
      </c>
    </row>
    <row r="8" spans="1:4" ht="15.75" thickBot="1">
      <c r="A8" s="338" t="s">
        <v>1107</v>
      </c>
      <c r="B8" s="339">
        <f>B6+B7</f>
        <v>96396</v>
      </c>
      <c r="C8" s="333"/>
      <c r="D8" s="339">
        <f>D6+D7</f>
        <v>88379</v>
      </c>
    </row>
    <row r="9" spans="1:4" ht="15.75" thickTop="1">
      <c r="A9" s="333"/>
      <c r="B9" s="333"/>
      <c r="C9" s="333"/>
      <c r="D9" s="333"/>
    </row>
    <row r="10" spans="1:4" ht="15">
      <c r="A10" s="336" t="s">
        <v>1108</v>
      </c>
      <c r="B10" s="337">
        <v>5666.99510000002</v>
      </c>
      <c r="C10" s="333"/>
      <c r="D10" s="337">
        <v>3040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Pâmela Paz</dc:creator>
  <cp:keywords/>
  <dc:description/>
  <cp:lastModifiedBy>Murilo Peixoto</cp:lastModifiedBy>
  <cp:lastPrinted>2020-02-12T20:28:44Z</cp:lastPrinted>
  <dcterms:created xsi:type="dcterms:W3CDTF">2018-02-05T19:16:31Z</dcterms:created>
  <dcterms:modified xsi:type="dcterms:W3CDTF">2020-07-03T13:26:00Z</dcterms:modified>
  <cp:category/>
  <cp:version/>
  <cp:contentType/>
  <cp:contentStatus/>
</cp:coreProperties>
</file>